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brovarney\AppData\Local\Microsoft\Windows\INetCache\Content.Outlook\VTR1KYEZ\"/>
    </mc:Choice>
  </mc:AlternateContent>
  <workbookProtection workbookPassword="D4CF" lockStructure="1"/>
  <bookViews>
    <workbookView xWindow="-15" yWindow="4050" windowWidth="19215" windowHeight="4725"/>
  </bookViews>
  <sheets>
    <sheet name="Calculator" sheetId="1" r:id="rId1"/>
    <sheet name="Formulary" sheetId="3" r:id="rId2"/>
  </sheets>
  <calcPr calcId="162913" concurrentCalc="0"/>
</workbook>
</file>

<file path=xl/calcChain.xml><?xml version="1.0" encoding="utf-8"?>
<calcChain xmlns="http://schemas.openxmlformats.org/spreadsheetml/2006/main">
  <c r="G3" i="3" l="1"/>
  <c r="F12" i="3"/>
  <c r="E13" i="3"/>
  <c r="G12" i="3"/>
  <c r="H13" i="3"/>
  <c r="E11" i="3"/>
  <c r="G10" i="3"/>
  <c r="H11" i="3"/>
  <c r="I16" i="1"/>
  <c r="E12" i="3"/>
  <c r="H12" i="3"/>
  <c r="E10" i="3"/>
  <c r="H10" i="3"/>
  <c r="E7" i="3"/>
  <c r="G7" i="3"/>
  <c r="H7" i="3"/>
  <c r="E5" i="3"/>
  <c r="G5" i="3"/>
  <c r="H5" i="3"/>
  <c r="E4" i="3"/>
  <c r="G4" i="3"/>
  <c r="H4" i="3"/>
  <c r="E6" i="3"/>
  <c r="G6" i="3"/>
  <c r="H6" i="3"/>
  <c r="E8" i="3"/>
  <c r="G8" i="3"/>
  <c r="H8" i="3"/>
  <c r="E3" i="3"/>
  <c r="H3" i="3"/>
  <c r="I15" i="1"/>
  <c r="E29" i="3"/>
  <c r="J33" i="1"/>
  <c r="E33" i="1"/>
  <c r="D33" i="1"/>
  <c r="F10" i="3"/>
  <c r="J10" i="3"/>
  <c r="K10" i="3"/>
  <c r="J12" i="3"/>
  <c r="K12" i="3"/>
  <c r="F7" i="3"/>
  <c r="J7" i="3"/>
  <c r="K7" i="3"/>
  <c r="F5" i="3"/>
  <c r="J5" i="3"/>
  <c r="K5" i="3"/>
  <c r="F4" i="3"/>
  <c r="J4" i="3"/>
  <c r="K4" i="3"/>
  <c r="F6" i="3"/>
  <c r="J6" i="3"/>
  <c r="K6" i="3"/>
  <c r="F8" i="3"/>
  <c r="J8" i="3"/>
  <c r="K8" i="3"/>
  <c r="F3" i="3"/>
  <c r="J3" i="3"/>
  <c r="K3" i="3"/>
  <c r="I30" i="1"/>
  <c r="J15" i="1"/>
  <c r="J23" i="1"/>
  <c r="I23" i="1"/>
  <c r="I10" i="3"/>
  <c r="E14" i="3"/>
  <c r="H14" i="3"/>
  <c r="I12" i="3"/>
  <c r="I7" i="3"/>
  <c r="I5" i="3"/>
  <c r="I4" i="3"/>
  <c r="I6" i="3"/>
  <c r="I8" i="3"/>
  <c r="I3" i="3"/>
  <c r="I19" i="1"/>
  <c r="E9" i="3"/>
  <c r="G9" i="3"/>
  <c r="F9" i="3"/>
  <c r="J9" i="3"/>
  <c r="K9" i="3"/>
  <c r="H9" i="3"/>
  <c r="I9" i="3"/>
  <c r="B34" i="1"/>
  <c r="B35" i="1"/>
  <c r="I17" i="1"/>
  <c r="J25" i="1"/>
  <c r="J24" i="1"/>
  <c r="J14" i="3"/>
  <c r="I25" i="1"/>
  <c r="J13" i="3"/>
  <c r="J11" i="3"/>
  <c r="I24" i="1"/>
  <c r="J17" i="1"/>
  <c r="J16" i="1"/>
  <c r="E35" i="1"/>
  <c r="E34" i="1"/>
  <c r="D35" i="1"/>
  <c r="D34" i="1"/>
</calcChain>
</file>

<file path=xl/sharedStrings.xml><?xml version="1.0" encoding="utf-8"?>
<sst xmlns="http://schemas.openxmlformats.org/spreadsheetml/2006/main" count="86" uniqueCount="74">
  <si>
    <t>Drug Name</t>
  </si>
  <si>
    <t>Purpose</t>
  </si>
  <si>
    <t>Route</t>
  </si>
  <si>
    <t>Dose (mg/kg)</t>
  </si>
  <si>
    <t>Dilutant (mL)</t>
  </si>
  <si>
    <t>Give (mL/mouse)</t>
  </si>
  <si>
    <t>Meloxicam</t>
  </si>
  <si>
    <t>Carprofen</t>
  </si>
  <si>
    <t>Ketoprofen</t>
  </si>
  <si>
    <t>Atipamezole</t>
  </si>
  <si>
    <t>Ketamine</t>
  </si>
  <si>
    <t>Xylazine</t>
  </si>
  <si>
    <t>[Working] (mg/mL)</t>
  </si>
  <si>
    <t>NSAID</t>
  </si>
  <si>
    <t>Reversal Agent</t>
  </si>
  <si>
    <t>Analgesic</t>
  </si>
  <si>
    <t>Anesthetic</t>
  </si>
  <si>
    <t>Cocktail</t>
  </si>
  <si>
    <t>SC</t>
  </si>
  <si>
    <t>IP</t>
  </si>
  <si>
    <t>Ketamine Xylazine</t>
  </si>
  <si>
    <t>Total Prep (mL)</t>
  </si>
  <si>
    <t>X factor</t>
  </si>
  <si>
    <t>Notes:</t>
  </si>
  <si>
    <t>Stock (mL)</t>
  </si>
  <si>
    <t>[Stock] (mg/mL)</t>
  </si>
  <si>
    <t>SC/IP</t>
  </si>
  <si>
    <t>note: mouse not to scale</t>
  </si>
  <si>
    <t>( -  - )</t>
  </si>
  <si>
    <t xml:space="preserve">            (  v  v  )~~~~~</t>
  </si>
  <si>
    <t xml:space="preserve">^   ^ </t>
  </si>
  <si>
    <t>&gt;&gt;</t>
  </si>
  <si>
    <t>1) This table forms the basis for values in "Calculator" tab.</t>
  </si>
  <si>
    <t>MOUSE DOSAGE CALCULATOR</t>
  </si>
  <si>
    <r>
      <t xml:space="preserve">2) Columns F through K (colored gray) contain formulae output values, </t>
    </r>
    <r>
      <rPr>
        <b/>
        <sz val="11"/>
        <color theme="1"/>
        <rFont val="Calibri"/>
        <family val="2"/>
        <scheme val="minor"/>
      </rPr>
      <t>change with caution</t>
    </r>
    <r>
      <rPr>
        <sz val="11"/>
        <color theme="1"/>
        <rFont val="Calibri"/>
        <family val="2"/>
        <scheme val="minor"/>
      </rPr>
      <t>.</t>
    </r>
  </si>
  <si>
    <t>ADD:</t>
  </si>
  <si>
    <t>TO:</t>
  </si>
  <si>
    <t>Suggested:</t>
  </si>
  <si>
    <t>Ketamine (100 mg/mL)</t>
  </si>
  <si>
    <t>Meloxicam (5 mg/mL)</t>
  </si>
  <si>
    <t>Carprofen (50 mg/mL)</t>
  </si>
  <si>
    <t>Ketoprofen (100 mg/mL)</t>
  </si>
  <si>
    <t>Atipamezole (5 mg/mL)</t>
  </si>
  <si>
    <t>Sedative/Mild Analgesic (Reversed with Atipamezole (5 mg/mL)</t>
  </si>
  <si>
    <t>Buprenorphine (0.3 mg/mL)</t>
  </si>
  <si>
    <t>Xylazine (20 mg/mL)</t>
  </si>
  <si>
    <t>Ketamine (100 mg/mL) Xylazine (20 mg/mL)</t>
  </si>
  <si>
    <t xml:space="preserve">Ketamine Xylazine Acepromazine </t>
  </si>
  <si>
    <t>Via Route:</t>
  </si>
  <si>
    <t>(note: the average adult B6 mouse weighs 25g)</t>
  </si>
  <si>
    <t>---&gt; Mouse ---&gt;</t>
  </si>
  <si>
    <t>TO GET</t>
  </si>
  <si>
    <t>Working Concentrations:</t>
  </si>
  <si>
    <r>
      <t>STEP 1)</t>
    </r>
    <r>
      <rPr>
        <b/>
        <sz val="18"/>
        <color theme="1"/>
        <rFont val="Calibri"/>
        <family val="2"/>
        <scheme val="minor"/>
      </rPr>
      <t xml:space="preserve"> Select Drug From Drop-Down Menu:</t>
    </r>
  </si>
  <si>
    <r>
      <t>STEP 2)</t>
    </r>
    <r>
      <rPr>
        <b/>
        <sz val="18"/>
        <color theme="1"/>
        <rFont val="Calibri"/>
        <family val="2"/>
        <scheme val="minor"/>
      </rPr>
      <t xml:space="preserve"> Enter Average Mouse Weight (g):</t>
    </r>
  </si>
  <si>
    <r>
      <t>STEP 4)</t>
    </r>
    <r>
      <rPr>
        <b/>
        <sz val="18"/>
        <color theme="1"/>
        <rFont val="Calibri"/>
        <family val="2"/>
        <scheme val="minor"/>
      </rPr>
      <t xml:space="preserve"> Enter Desired Dose Amount (mg/kg):</t>
    </r>
  </si>
  <si>
    <r>
      <t>STEP 5)</t>
    </r>
    <r>
      <rPr>
        <b/>
        <sz val="18"/>
        <color theme="1"/>
        <rFont val="Calibri"/>
        <family val="2"/>
        <scheme val="minor"/>
      </rPr>
      <t xml:space="preserve"> Prepare Solution:</t>
    </r>
  </si>
  <si>
    <r>
      <t>STEP 6)</t>
    </r>
    <r>
      <rPr>
        <b/>
        <sz val="18"/>
        <color theme="1"/>
        <rFont val="Calibri"/>
        <family val="2"/>
        <scheme val="minor"/>
      </rPr>
      <t xml:space="preserve"> Administer Injection Volume (mL) to Mouse:</t>
    </r>
  </si>
  <si>
    <r>
      <t>STEP 3)</t>
    </r>
    <r>
      <rPr>
        <b/>
        <sz val="18"/>
        <color theme="1"/>
        <rFont val="Calibri"/>
        <family val="2"/>
        <scheme val="minor"/>
      </rPr>
      <t xml:space="preserve"> Enter Number of Animals to Inject:</t>
    </r>
  </si>
  <si>
    <t>1) Follow step-by-step instructions below to calculate injection dosage</t>
  </si>
  <si>
    <t>2) Label all solutions with Working Concentration (from this calculator) and expiration date (30 days from preparation date)</t>
  </si>
  <si>
    <t>3) Worksheet is protected to prevent unwanted alterations to formatting.</t>
  </si>
  <si>
    <t>Ketamine (100 mg/mL) Xylazine (20 mg/mL) Acepromazine (10 mg/mL)</t>
  </si>
  <si>
    <t>for IACUC/LARC Preferred Anesthetics/Analgesics</t>
  </si>
  <si>
    <r>
      <t>(</t>
    </r>
    <r>
      <rPr>
        <b/>
        <i/>
        <sz val="11"/>
        <color theme="1"/>
        <rFont val="Calibri"/>
        <family val="2"/>
        <scheme val="minor"/>
      </rPr>
      <t>ATTENTION:</t>
    </r>
    <r>
      <rPr>
        <i/>
        <sz val="11"/>
        <color theme="1"/>
        <rFont val="Calibri"/>
        <family val="2"/>
        <scheme val="minor"/>
      </rPr>
      <t xml:space="preserve"> used to calculate preparation amount, increase or decrease as advised in Steps 5 &amp; 6)</t>
    </r>
  </si>
  <si>
    <t>Rules:</t>
  </si>
  <si>
    <t xml:space="preserve"> </t>
  </si>
  <si>
    <t>diluent volume (mL)</t>
  </si>
  <si>
    <t>Standard Buprenorphine</t>
  </si>
  <si>
    <t>PO/SC</t>
  </si>
  <si>
    <t>4) Calculator is write-protected, direct questions to &lt;&lt;LARCwebsite@ucsf.edu&gt;&gt;</t>
  </si>
  <si>
    <t>4) Direct questions to &lt;&lt;LARCwebsite@ucsf.edu&gt;&gt;</t>
  </si>
  <si>
    <t>3) Sustained-Release Buprenorphine CANNOT be diluted and is NOT listed on this worksheet</t>
  </si>
  <si>
    <t>(ATTENION: make sure your stock solution matches the concentration listed)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</si>
</sst>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00"/>
  </numFmts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8"/>
      <color rgb="FF7030A0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rgb="FF7030A0"/>
      <name val="Calibri"/>
      <family val="2"/>
      <scheme val="minor"/>
    </font>
    <font>
      <sz val="12"/>
      <color rgb="FF7030A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u/>
      <sz val="2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ck">
        <color auto="1"/>
      </left>
      <right/>
      <top style="thick">
        <color auto="1"/>
      </top>
      <bottom style="medium">
        <color auto="1"/>
      </bottom>
      <diagonal/>
    </border>
    <border>
      <left/>
      <right/>
      <top style="thick">
        <color auto="1"/>
      </top>
      <bottom style="medium">
        <color auto="1"/>
      </bottom>
      <diagonal/>
    </border>
    <border>
      <left/>
      <right style="thick">
        <color auto="1"/>
      </right>
      <top style="thick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/>
      <diagonal/>
    </border>
    <border>
      <left style="thin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ck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medium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ck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ck">
        <color rgb="FF7030A0"/>
      </left>
      <right style="thick">
        <color rgb="FF7030A0"/>
      </right>
      <top/>
      <bottom/>
      <diagonal/>
    </border>
    <border>
      <left style="thick">
        <color rgb="FF7030A0"/>
      </left>
      <right style="thick">
        <color rgb="FF7030A0"/>
      </right>
      <top/>
      <bottom style="thick">
        <color rgb="FF7030A0"/>
      </bottom>
      <diagonal/>
    </border>
    <border>
      <left style="mediumDashDot">
        <color rgb="FF7030A0"/>
      </left>
      <right style="mediumDashDot">
        <color rgb="FF7030A0"/>
      </right>
      <top style="mediumDashDot">
        <color rgb="FF7030A0"/>
      </top>
      <bottom/>
      <diagonal/>
    </border>
    <border>
      <left style="mediumDashDot">
        <color rgb="FF7030A0"/>
      </left>
      <right style="mediumDashDot">
        <color rgb="FF7030A0"/>
      </right>
      <top/>
      <bottom/>
      <diagonal/>
    </border>
    <border>
      <left style="mediumDashDot">
        <color rgb="FF7030A0"/>
      </left>
      <right style="mediumDashDot">
        <color rgb="FF7030A0"/>
      </right>
      <top/>
      <bottom style="mediumDashDot">
        <color rgb="FF7030A0"/>
      </bottom>
      <diagonal/>
    </border>
    <border>
      <left style="thick">
        <color rgb="FFC00000"/>
      </left>
      <right style="thick">
        <color rgb="FFC00000"/>
      </right>
      <top/>
      <bottom style="thick">
        <color rgb="FFC00000"/>
      </bottom>
      <diagonal/>
    </border>
    <border>
      <left style="thick">
        <color rgb="FFC00000"/>
      </left>
      <right style="thick">
        <color rgb="FFC00000"/>
      </right>
      <top/>
      <bottom/>
      <diagonal/>
    </border>
    <border>
      <left style="thin">
        <color rgb="FFC00000"/>
      </left>
      <right style="thin">
        <color rgb="FFC00000"/>
      </right>
      <top style="thin">
        <color rgb="FFC00000"/>
      </top>
      <bottom/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C00000"/>
      </left>
      <right/>
      <top style="thin">
        <color rgb="FFC00000"/>
      </top>
      <bottom style="thin">
        <color rgb="FFC00000"/>
      </bottom>
      <diagonal/>
    </border>
    <border>
      <left/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ck">
        <color rgb="FF7030A0"/>
      </left>
      <right style="thick">
        <color rgb="FF7030A0"/>
      </right>
      <top style="thick">
        <color rgb="FF7030A0"/>
      </top>
      <bottom/>
      <diagonal/>
    </border>
    <border>
      <left style="thick">
        <color rgb="FF7030A0"/>
      </left>
      <right style="thick">
        <color rgb="FF7030A0"/>
      </right>
      <top style="thick">
        <color rgb="FF7030A0"/>
      </top>
      <bottom style="thick">
        <color rgb="FF7030A0"/>
      </bottom>
      <diagonal/>
    </border>
    <border>
      <left style="mediumDashDot">
        <color auto="1"/>
      </left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 style="mediumDashDot">
        <color auto="1"/>
      </left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dashed">
        <color auto="1"/>
      </left>
      <right style="thick">
        <color auto="1"/>
      </right>
      <top style="dashed">
        <color auto="1"/>
      </top>
      <bottom/>
      <diagonal/>
    </border>
    <border>
      <left style="dashed">
        <color auto="1"/>
      </left>
      <right style="thick">
        <color auto="1"/>
      </right>
      <top/>
      <bottom/>
      <diagonal/>
    </border>
    <border>
      <left style="dashed">
        <color auto="1"/>
      </left>
      <right style="thick">
        <color auto="1"/>
      </right>
      <top/>
      <bottom style="dashed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 style="mediumDashDot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 style="thick">
        <color auto="1"/>
      </right>
      <top style="dashed">
        <color auto="1"/>
      </top>
      <bottom/>
      <diagonal/>
    </border>
  </borders>
  <cellStyleXfs count="1">
    <xf numFmtId="0" fontId="0" fillId="0" borderId="0"/>
  </cellStyleXfs>
  <cellXfs count="160">
    <xf numFmtId="0" fontId="0" fillId="0" borderId="0" xfId="0"/>
    <xf numFmtId="0" fontId="1" fillId="0" borderId="5" xfId="0" applyFont="1" applyBorder="1" applyAlignment="1" applyProtection="1">
      <alignment horizontal="center"/>
    </xf>
    <xf numFmtId="0" fontId="2" fillId="0" borderId="0" xfId="0" applyFont="1" applyAlignment="1" applyProtection="1">
      <alignment horizontal="center"/>
    </xf>
    <xf numFmtId="0" fontId="0" fillId="0" borderId="0" xfId="0" applyProtection="1"/>
    <xf numFmtId="0" fontId="1" fillId="0" borderId="4" xfId="0" applyFont="1" applyBorder="1" applyAlignment="1" applyProtection="1">
      <alignment horizontal="center"/>
    </xf>
    <xf numFmtId="0" fontId="0" fillId="0" borderId="0" xfId="0" applyFill="1" applyBorder="1" applyProtection="1"/>
    <xf numFmtId="0" fontId="1" fillId="0" borderId="3" xfId="0" applyFont="1" applyBorder="1" applyAlignment="1" applyProtection="1">
      <alignment horizontal="center"/>
    </xf>
    <xf numFmtId="0" fontId="0" fillId="0" borderId="23" xfId="0" applyBorder="1" applyAlignment="1" applyProtection="1">
      <alignment horizontal="right" vertical="center"/>
    </xf>
    <xf numFmtId="0" fontId="0" fillId="0" borderId="13" xfId="0" applyBorder="1" applyAlignment="1" applyProtection="1">
      <alignment vertical="center"/>
    </xf>
    <xf numFmtId="0" fontId="0" fillId="0" borderId="6" xfId="0" applyBorder="1" applyAlignment="1" applyProtection="1">
      <alignment vertical="center"/>
    </xf>
    <xf numFmtId="0" fontId="0" fillId="0" borderId="24" xfId="0" applyBorder="1" applyAlignment="1" applyProtection="1">
      <alignment horizontal="right" vertical="center"/>
    </xf>
    <xf numFmtId="0" fontId="0" fillId="0" borderId="14" xfId="0" applyBorder="1" applyAlignment="1" applyProtection="1">
      <alignment vertical="center"/>
    </xf>
    <xf numFmtId="0" fontId="0" fillId="0" borderId="7" xfId="0" applyBorder="1" applyAlignment="1" applyProtection="1">
      <alignment vertical="center"/>
    </xf>
    <xf numFmtId="0" fontId="0" fillId="0" borderId="14" xfId="0" applyBorder="1" applyAlignment="1" applyProtection="1">
      <alignment vertical="center" wrapText="1"/>
    </xf>
    <xf numFmtId="0" fontId="0" fillId="0" borderId="26" xfId="0" applyBorder="1" applyAlignment="1" applyProtection="1">
      <alignment vertical="center"/>
    </xf>
    <xf numFmtId="0" fontId="0" fillId="0" borderId="27" xfId="0" applyBorder="1" applyAlignment="1" applyProtection="1">
      <alignment vertical="center"/>
    </xf>
    <xf numFmtId="0" fontId="0" fillId="0" borderId="28" xfId="0" applyBorder="1" applyAlignment="1" applyProtection="1">
      <alignment vertical="center"/>
    </xf>
    <xf numFmtId="0" fontId="0" fillId="0" borderId="29" xfId="0" applyBorder="1" applyAlignment="1" applyProtection="1">
      <alignment vertical="center"/>
    </xf>
    <xf numFmtId="0" fontId="0" fillId="3" borderId="6" xfId="0" applyFill="1" applyBorder="1" applyAlignment="1" applyProtection="1">
      <alignment vertical="center"/>
    </xf>
    <xf numFmtId="0" fontId="0" fillId="3" borderId="7" xfId="0" applyFill="1" applyBorder="1" applyAlignment="1" applyProtection="1">
      <alignment vertical="center"/>
    </xf>
    <xf numFmtId="0" fontId="0" fillId="4" borderId="30" xfId="0" applyFill="1" applyBorder="1" applyProtection="1"/>
    <xf numFmtId="0" fontId="0" fillId="4" borderId="0" xfId="0" applyFill="1" applyBorder="1" applyProtection="1"/>
    <xf numFmtId="0" fontId="0" fillId="4" borderId="36" xfId="0" applyFill="1" applyBorder="1" applyProtection="1"/>
    <xf numFmtId="0" fontId="0" fillId="0" borderId="33" xfId="0" applyFill="1" applyBorder="1" applyProtection="1"/>
    <xf numFmtId="0" fontId="4" fillId="0" borderId="0" xfId="0" applyFont="1" applyFill="1" applyBorder="1" applyAlignment="1" applyProtection="1">
      <alignment horizontal="center"/>
    </xf>
    <xf numFmtId="0" fontId="9" fillId="0" borderId="0" xfId="0" applyFont="1" applyBorder="1" applyAlignment="1" applyProtection="1">
      <alignment horizontal="center"/>
    </xf>
    <xf numFmtId="0" fontId="5" fillId="4" borderId="31" xfId="0" applyFont="1" applyFill="1" applyBorder="1" applyProtection="1"/>
    <xf numFmtId="0" fontId="0" fillId="4" borderId="33" xfId="0" applyFill="1" applyBorder="1" applyProtection="1"/>
    <xf numFmtId="0" fontId="0" fillId="4" borderId="35" xfId="0" applyFill="1" applyBorder="1" applyProtection="1"/>
    <xf numFmtId="0" fontId="0" fillId="0" borderId="6" xfId="0" applyFill="1" applyBorder="1" applyAlignment="1" applyProtection="1">
      <alignment vertical="center"/>
    </xf>
    <xf numFmtId="0" fontId="0" fillId="0" borderId="7" xfId="0" applyFill="1" applyBorder="1" applyAlignment="1" applyProtection="1">
      <alignment vertical="center"/>
    </xf>
    <xf numFmtId="0" fontId="5" fillId="0" borderId="0" xfId="0" applyFont="1" applyFill="1" applyBorder="1" applyAlignment="1" applyProtection="1">
      <alignment horizontal="center"/>
    </xf>
    <xf numFmtId="0" fontId="0" fillId="0" borderId="40" xfId="0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horizontal="center"/>
    </xf>
    <xf numFmtId="0" fontId="0" fillId="0" borderId="0" xfId="0" applyFill="1" applyBorder="1" applyAlignment="1" applyProtection="1">
      <alignment horizontal="center"/>
    </xf>
    <xf numFmtId="0" fontId="1" fillId="0" borderId="0" xfId="0" applyFont="1" applyFill="1" applyBorder="1" applyProtection="1"/>
    <xf numFmtId="164" fontId="6" fillId="0" borderId="0" xfId="0" applyNumberFormat="1" applyFont="1" applyFill="1" applyBorder="1" applyAlignment="1" applyProtection="1">
      <alignment horizontal="center"/>
    </xf>
    <xf numFmtId="0" fontId="3" fillId="0" borderId="0" xfId="0" applyFont="1" applyAlignment="1" applyProtection="1">
      <alignment horizontal="center"/>
    </xf>
    <xf numFmtId="0" fontId="2" fillId="5" borderId="0" xfId="0" applyFont="1" applyFill="1" applyBorder="1" applyAlignment="1" applyProtection="1">
      <alignment horizontal="center"/>
    </xf>
    <xf numFmtId="0" fontId="0" fillId="5" borderId="0" xfId="0" applyFill="1" applyBorder="1" applyProtection="1"/>
    <xf numFmtId="0" fontId="5" fillId="5" borderId="0" xfId="0" applyFont="1" applyFill="1" applyBorder="1" applyAlignment="1" applyProtection="1">
      <alignment horizontal="center"/>
    </xf>
    <xf numFmtId="0" fontId="0" fillId="5" borderId="0" xfId="0" applyFill="1" applyBorder="1" applyAlignment="1" applyProtection="1">
      <alignment horizontal="center"/>
    </xf>
    <xf numFmtId="0" fontId="6" fillId="0" borderId="0" xfId="0" applyFont="1" applyFill="1" applyBorder="1" applyAlignment="1" applyProtection="1">
      <alignment horizontal="left"/>
    </xf>
    <xf numFmtId="0" fontId="13" fillId="0" borderId="0" xfId="0" applyFont="1" applyFill="1" applyBorder="1" applyAlignment="1" applyProtection="1">
      <alignment horizontal="center"/>
    </xf>
    <xf numFmtId="0" fontId="12" fillId="0" borderId="0" xfId="0" applyFont="1" applyFill="1" applyBorder="1" applyAlignment="1" applyProtection="1">
      <alignment horizontal="left"/>
    </xf>
    <xf numFmtId="0" fontId="14" fillId="0" borderId="0" xfId="0" applyFont="1" applyBorder="1" applyAlignment="1" applyProtection="1">
      <alignment horizontal="center"/>
    </xf>
    <xf numFmtId="0" fontId="0" fillId="0" borderId="0" xfId="0" applyBorder="1" applyProtection="1"/>
    <xf numFmtId="0" fontId="3" fillId="0" borderId="54" xfId="0" applyFont="1" applyBorder="1" applyAlignment="1" applyProtection="1">
      <alignment horizontal="center"/>
    </xf>
    <xf numFmtId="0" fontId="2" fillId="0" borderId="54" xfId="0" applyFont="1" applyBorder="1" applyAlignment="1" applyProtection="1">
      <alignment horizontal="center"/>
    </xf>
    <xf numFmtId="0" fontId="6" fillId="0" borderId="54" xfId="0" applyFont="1" applyFill="1" applyBorder="1" applyAlignment="1" applyProtection="1">
      <alignment horizontal="center"/>
    </xf>
    <xf numFmtId="0" fontId="8" fillId="0" borderId="54" xfId="0" applyFont="1" applyFill="1" applyBorder="1" applyAlignment="1" applyProtection="1">
      <alignment horizontal="center"/>
    </xf>
    <xf numFmtId="0" fontId="0" fillId="0" borderId="54" xfId="0" applyFill="1" applyBorder="1" applyAlignment="1" applyProtection="1">
      <alignment horizontal="center"/>
    </xf>
    <xf numFmtId="0" fontId="5" fillId="0" borderId="54" xfId="0" applyFont="1" applyFill="1" applyBorder="1" applyAlignment="1" applyProtection="1">
      <alignment horizontal="center"/>
    </xf>
    <xf numFmtId="0" fontId="8" fillId="0" borderId="54" xfId="0" applyFont="1" applyBorder="1" applyAlignment="1" applyProtection="1">
      <alignment horizontal="center"/>
    </xf>
    <xf numFmtId="0" fontId="0" fillId="0" borderId="54" xfId="0" applyBorder="1" applyProtection="1"/>
    <xf numFmtId="0" fontId="17" fillId="0" borderId="0" xfId="0" applyFont="1" applyAlignment="1" applyProtection="1"/>
    <xf numFmtId="0" fontId="0" fillId="4" borderId="32" xfId="0" applyFill="1" applyBorder="1" applyProtection="1"/>
    <xf numFmtId="0" fontId="0" fillId="4" borderId="34" xfId="0" applyFill="1" applyBorder="1" applyProtection="1"/>
    <xf numFmtId="0" fontId="0" fillId="4" borderId="37" xfId="0" applyFill="1" applyBorder="1" applyProtection="1"/>
    <xf numFmtId="0" fontId="0" fillId="0" borderId="1" xfId="0" applyBorder="1" applyAlignment="1" applyProtection="1">
      <alignment horizontal="right" vertical="center"/>
    </xf>
    <xf numFmtId="0" fontId="0" fillId="0" borderId="38" xfId="0" applyBorder="1" applyAlignment="1" applyProtection="1">
      <alignment horizontal="right" vertical="center"/>
    </xf>
    <xf numFmtId="0" fontId="0" fillId="0" borderId="38" xfId="0" applyFill="1" applyBorder="1" applyAlignment="1" applyProtection="1">
      <alignment horizontal="right" vertical="center"/>
    </xf>
    <xf numFmtId="0" fontId="0" fillId="0" borderId="39" xfId="0" applyBorder="1" applyAlignment="1" applyProtection="1">
      <alignment horizontal="right" vertical="center" wrapText="1"/>
    </xf>
    <xf numFmtId="0" fontId="0" fillId="0" borderId="2" xfId="0" applyBorder="1" applyAlignment="1" applyProtection="1">
      <alignment horizontal="right" vertical="center" wrapText="1"/>
    </xf>
    <xf numFmtId="0" fontId="3" fillId="0" borderId="0" xfId="0" applyFont="1" applyBorder="1" applyAlignment="1" applyProtection="1">
      <alignment horizontal="center"/>
    </xf>
    <xf numFmtId="0" fontId="10" fillId="0" borderId="0" xfId="0" applyFont="1" applyBorder="1" applyProtection="1"/>
    <xf numFmtId="0" fontId="5" fillId="0" borderId="0" xfId="0" applyFont="1" applyBorder="1" applyAlignment="1" applyProtection="1">
      <alignment horizontal="center"/>
    </xf>
    <xf numFmtId="0" fontId="6" fillId="0" borderId="0" xfId="0" applyFont="1" applyBorder="1" applyAlignment="1" applyProtection="1">
      <alignment horizontal="left"/>
    </xf>
    <xf numFmtId="0" fontId="12" fillId="0" borderId="0" xfId="0" applyFont="1" applyBorder="1" applyProtection="1"/>
    <xf numFmtId="0" fontId="13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5" fillId="0" borderId="0" xfId="0" applyFont="1" applyBorder="1" applyProtection="1"/>
    <xf numFmtId="0" fontId="15" fillId="0" borderId="0" xfId="0" quotePrefix="1" applyFont="1" applyBorder="1" applyAlignment="1" applyProtection="1">
      <alignment horizontal="center"/>
    </xf>
    <xf numFmtId="0" fontId="11" fillId="0" borderId="0" xfId="0" applyFont="1" applyBorder="1" applyProtection="1"/>
    <xf numFmtId="0" fontId="12" fillId="0" borderId="0" xfId="0" applyFont="1" applyBorder="1" applyAlignment="1" applyProtection="1">
      <alignment horizontal="center"/>
    </xf>
    <xf numFmtId="0" fontId="12" fillId="0" borderId="0" xfId="0" applyFont="1" applyBorder="1" applyAlignment="1" applyProtection="1">
      <alignment horizontal="left"/>
    </xf>
    <xf numFmtId="0" fontId="11" fillId="0" borderId="0" xfId="0" applyFont="1" applyBorder="1" applyAlignment="1" applyProtection="1">
      <alignment horizontal="center"/>
    </xf>
    <xf numFmtId="0" fontId="3" fillId="0" borderId="55" xfId="0" applyFont="1" applyBorder="1" applyAlignment="1" applyProtection="1">
      <alignment horizontal="center"/>
    </xf>
    <xf numFmtId="0" fontId="3" fillId="0" borderId="56" xfId="0" applyFont="1" applyBorder="1" applyAlignment="1" applyProtection="1">
      <alignment horizontal="center"/>
    </xf>
    <xf numFmtId="0" fontId="3" fillId="0" borderId="57" xfId="0" applyFont="1" applyBorder="1" applyAlignment="1" applyProtection="1">
      <alignment horizontal="center"/>
    </xf>
    <xf numFmtId="0" fontId="3" fillId="0" borderId="58" xfId="0" applyFont="1" applyBorder="1" applyAlignment="1" applyProtection="1">
      <alignment horizontal="center"/>
    </xf>
    <xf numFmtId="0" fontId="3" fillId="0" borderId="59" xfId="0" applyFont="1" applyBorder="1" applyAlignment="1" applyProtection="1">
      <alignment horizontal="center"/>
    </xf>
    <xf numFmtId="0" fontId="3" fillId="0" borderId="60" xfId="0" applyFont="1" applyBorder="1" applyAlignment="1" applyProtection="1">
      <alignment horizontal="center"/>
    </xf>
    <xf numFmtId="0" fontId="10" fillId="0" borderId="59" xfId="0" applyFont="1" applyBorder="1" applyAlignment="1" applyProtection="1">
      <alignment horizontal="left"/>
    </xf>
    <xf numFmtId="0" fontId="0" fillId="0" borderId="60" xfId="0" applyBorder="1" applyProtection="1"/>
    <xf numFmtId="0" fontId="10" fillId="0" borderId="59" xfId="0" applyFont="1" applyBorder="1" applyAlignment="1" applyProtection="1">
      <alignment horizontal="center"/>
    </xf>
    <xf numFmtId="0" fontId="0" fillId="0" borderId="59" xfId="0" applyBorder="1" applyAlignment="1" applyProtection="1">
      <alignment horizontal="right"/>
    </xf>
    <xf numFmtId="0" fontId="3" fillId="0" borderId="60" xfId="0" applyFont="1" applyFill="1" applyBorder="1" applyAlignment="1" applyProtection="1">
      <alignment horizontal="center"/>
    </xf>
    <xf numFmtId="0" fontId="7" fillId="0" borderId="60" xfId="0" applyFont="1" applyFill="1" applyBorder="1" applyAlignment="1" applyProtection="1">
      <alignment horizontal="left"/>
    </xf>
    <xf numFmtId="0" fontId="7" fillId="0" borderId="60" xfId="0" applyFont="1" applyBorder="1" applyProtection="1"/>
    <xf numFmtId="0" fontId="3" fillId="0" borderId="59" xfId="0" applyFont="1" applyBorder="1" applyAlignment="1" applyProtection="1">
      <alignment horizontal="left"/>
    </xf>
    <xf numFmtId="0" fontId="2" fillId="5" borderId="59" xfId="0" applyFont="1" applyFill="1" applyBorder="1" applyAlignment="1" applyProtection="1">
      <alignment horizontal="center"/>
    </xf>
    <xf numFmtId="0" fontId="0" fillId="0" borderId="59" xfId="0" applyBorder="1" applyAlignment="1" applyProtection="1">
      <alignment horizontal="center"/>
    </xf>
    <xf numFmtId="0" fontId="0" fillId="0" borderId="59" xfId="0" applyBorder="1" applyProtection="1"/>
    <xf numFmtId="0" fontId="10" fillId="0" borderId="59" xfId="0" applyFont="1" applyBorder="1" applyProtection="1"/>
    <xf numFmtId="0" fontId="0" fillId="0" borderId="61" xfId="0" applyBorder="1" applyAlignment="1" applyProtection="1">
      <alignment horizontal="center"/>
    </xf>
    <xf numFmtId="0" fontId="0" fillId="0" borderId="62" xfId="0" applyBorder="1" applyAlignment="1" applyProtection="1">
      <alignment horizontal="center"/>
    </xf>
    <xf numFmtId="0" fontId="9" fillId="0" borderId="63" xfId="0" applyFont="1" applyBorder="1" applyAlignment="1" applyProtection="1">
      <alignment horizontal="center"/>
    </xf>
    <xf numFmtId="0" fontId="0" fillId="0" borderId="64" xfId="0" applyBorder="1" applyProtection="1"/>
    <xf numFmtId="0" fontId="0" fillId="0" borderId="65" xfId="0" applyBorder="1" applyProtection="1"/>
    <xf numFmtId="0" fontId="0" fillId="0" borderId="66" xfId="0" applyBorder="1" applyProtection="1"/>
    <xf numFmtId="0" fontId="0" fillId="0" borderId="67" xfId="0" applyBorder="1" applyProtection="1"/>
    <xf numFmtId="0" fontId="0" fillId="0" borderId="54" xfId="0" applyBorder="1"/>
    <xf numFmtId="0" fontId="0" fillId="0" borderId="68" xfId="0" applyBorder="1" applyProtection="1"/>
    <xf numFmtId="0" fontId="18" fillId="4" borderId="33" xfId="0" applyFont="1" applyFill="1" applyBorder="1" applyProtection="1"/>
    <xf numFmtId="0" fontId="18" fillId="4" borderId="35" xfId="0" applyFont="1" applyFill="1" applyBorder="1" applyProtection="1"/>
    <xf numFmtId="0" fontId="16" fillId="4" borderId="31" xfId="0" applyFont="1" applyFill="1" applyBorder="1" applyProtection="1"/>
    <xf numFmtId="165" fontId="12" fillId="0" borderId="43" xfId="0" applyNumberFormat="1" applyFont="1" applyBorder="1" applyAlignment="1" applyProtection="1">
      <alignment horizontal="center"/>
    </xf>
    <xf numFmtId="0" fontId="3" fillId="0" borderId="0" xfId="0" applyFont="1" applyAlignment="1" applyProtection="1">
      <alignment horizontal="center"/>
    </xf>
    <xf numFmtId="165" fontId="12" fillId="0" borderId="44" xfId="0" applyNumberFormat="1" applyFont="1" applyBorder="1" applyAlignment="1" applyProtection="1">
      <alignment horizontal="center"/>
    </xf>
    <xf numFmtId="165" fontId="12" fillId="0" borderId="45" xfId="0" applyNumberFormat="1" applyFont="1" applyBorder="1" applyAlignment="1" applyProtection="1">
      <alignment horizontal="center"/>
    </xf>
    <xf numFmtId="165" fontId="11" fillId="0" borderId="53" xfId="0" applyNumberFormat="1" applyFont="1" applyFill="1" applyBorder="1" applyAlignment="1" applyProtection="1">
      <alignment horizontal="center"/>
    </xf>
    <xf numFmtId="165" fontId="0" fillId="3" borderId="7" xfId="0" applyNumberFormat="1" applyFill="1" applyBorder="1" applyAlignment="1" applyProtection="1">
      <alignment vertical="center"/>
    </xf>
    <xf numFmtId="165" fontId="0" fillId="3" borderId="26" xfId="0" applyNumberFormat="1" applyFill="1" applyBorder="1" applyAlignment="1" applyProtection="1">
      <alignment vertical="center"/>
    </xf>
    <xf numFmtId="165" fontId="0" fillId="3" borderId="27" xfId="0" applyNumberFormat="1" applyFill="1" applyBorder="1" applyAlignment="1" applyProtection="1">
      <alignment vertical="center"/>
    </xf>
    <xf numFmtId="165" fontId="0" fillId="3" borderId="28" xfId="0" applyNumberFormat="1" applyFill="1" applyBorder="1" applyAlignment="1" applyProtection="1">
      <alignment vertical="center"/>
    </xf>
    <xf numFmtId="165" fontId="0" fillId="3" borderId="29" xfId="0" applyNumberFormat="1" applyFill="1" applyBorder="1" applyAlignment="1" applyProtection="1">
      <alignment vertical="center"/>
    </xf>
    <xf numFmtId="165" fontId="0" fillId="3" borderId="8" xfId="0" applyNumberFormat="1" applyFill="1" applyBorder="1" applyAlignment="1" applyProtection="1">
      <alignment horizontal="right" vertical="center"/>
    </xf>
    <xf numFmtId="0" fontId="0" fillId="0" borderId="24" xfId="0" applyFill="1" applyBorder="1" applyAlignment="1" applyProtection="1">
      <alignment horizontal="right" vertical="center" wrapText="1"/>
    </xf>
    <xf numFmtId="1" fontId="11" fillId="2" borderId="48" xfId="0" applyNumberFormat="1" applyFont="1" applyFill="1" applyBorder="1" applyAlignment="1" applyProtection="1">
      <alignment horizontal="center"/>
      <protection locked="0"/>
    </xf>
    <xf numFmtId="1" fontId="11" fillId="2" borderId="47" xfId="0" applyNumberFormat="1" applyFont="1" applyFill="1" applyBorder="1" applyAlignment="1" applyProtection="1">
      <alignment horizontal="center"/>
      <protection locked="0"/>
    </xf>
    <xf numFmtId="0" fontId="11" fillId="2" borderId="49" xfId="0" applyNumberFormat="1" applyFont="1" applyFill="1" applyBorder="1" applyAlignment="1" applyProtection="1">
      <alignment horizontal="center"/>
      <protection locked="0"/>
    </xf>
    <xf numFmtId="0" fontId="11" fillId="2" borderId="48" xfId="0" applyNumberFormat="1" applyFont="1" applyFill="1" applyBorder="1" applyAlignment="1" applyProtection="1">
      <alignment horizontal="center"/>
      <protection locked="0"/>
    </xf>
    <xf numFmtId="2" fontId="11" fillId="0" borderId="52" xfId="0" applyNumberFormat="1" applyFont="1" applyFill="1" applyBorder="1" applyAlignment="1" applyProtection="1">
      <alignment horizontal="center"/>
    </xf>
    <xf numFmtId="2" fontId="11" fillId="0" borderId="41" xfId="0" applyNumberFormat="1" applyFont="1" applyBorder="1" applyAlignment="1" applyProtection="1">
      <alignment horizontal="center"/>
    </xf>
    <xf numFmtId="2" fontId="11" fillId="0" borderId="41" xfId="0" applyNumberFormat="1" applyFont="1" applyFill="1" applyBorder="1" applyAlignment="1" applyProtection="1">
      <alignment horizontal="center"/>
    </xf>
    <xf numFmtId="2" fontId="11" fillId="0" borderId="42" xfId="0" applyNumberFormat="1" applyFont="1" applyFill="1" applyBorder="1" applyAlignment="1" applyProtection="1">
      <alignment horizontal="center"/>
    </xf>
    <xf numFmtId="0" fontId="11" fillId="2" borderId="46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</xf>
    <xf numFmtId="165" fontId="0" fillId="3" borderId="7" xfId="0" applyNumberFormat="1" applyFill="1" applyBorder="1" applyAlignment="1" applyProtection="1">
      <alignment horizontal="right" vertical="center"/>
    </xf>
    <xf numFmtId="165" fontId="0" fillId="3" borderId="26" xfId="0" applyNumberFormat="1" applyFill="1" applyBorder="1" applyAlignment="1" applyProtection="1">
      <alignment horizontal="right" vertical="center"/>
    </xf>
    <xf numFmtId="165" fontId="0" fillId="3" borderId="27" xfId="0" applyNumberFormat="1" applyFill="1" applyBorder="1" applyAlignment="1" applyProtection="1">
      <alignment horizontal="right" vertical="center"/>
    </xf>
    <xf numFmtId="165" fontId="0" fillId="3" borderId="28" xfId="0" applyNumberFormat="1" applyFill="1" applyBorder="1" applyAlignment="1" applyProtection="1">
      <alignment horizontal="right" vertical="center"/>
    </xf>
    <xf numFmtId="165" fontId="0" fillId="3" borderId="29" xfId="0" applyNumberFormat="1" applyFill="1" applyBorder="1" applyAlignment="1" applyProtection="1">
      <alignment horizontal="right" vertical="center"/>
    </xf>
    <xf numFmtId="0" fontId="12" fillId="2" borderId="50" xfId="0" applyFont="1" applyFill="1" applyBorder="1" applyAlignment="1" applyProtection="1">
      <alignment horizontal="center"/>
      <protection locked="0"/>
    </xf>
    <xf numFmtId="0" fontId="12" fillId="2" borderId="51" xfId="0" applyFont="1" applyFill="1" applyBorder="1" applyAlignment="1" applyProtection="1">
      <alignment horizontal="center"/>
      <protection locked="0"/>
    </xf>
    <xf numFmtId="0" fontId="17" fillId="0" borderId="0" xfId="0" applyFont="1" applyAlignment="1" applyProtection="1">
      <alignment horizontal="center"/>
    </xf>
    <xf numFmtId="0" fontId="16" fillId="0" borderId="0" xfId="0" applyFont="1" applyAlignment="1" applyProtection="1">
      <alignment horizontal="center"/>
    </xf>
    <xf numFmtId="0" fontId="6" fillId="6" borderId="0" xfId="0" applyFont="1" applyFill="1" applyBorder="1" applyAlignment="1" applyProtection="1">
      <alignment horizontal="left"/>
    </xf>
    <xf numFmtId="165" fontId="0" fillId="3" borderId="19" xfId="0" applyNumberFormat="1" applyFill="1" applyBorder="1" applyAlignment="1" applyProtection="1">
      <alignment horizontal="right" vertical="center"/>
    </xf>
    <xf numFmtId="165" fontId="0" fillId="3" borderId="20" xfId="0" applyNumberFormat="1" applyFill="1" applyBorder="1" applyAlignment="1" applyProtection="1">
      <alignment horizontal="right" vertical="center"/>
    </xf>
    <xf numFmtId="165" fontId="0" fillId="3" borderId="21" xfId="0" applyNumberFormat="1" applyFill="1" applyBorder="1" applyAlignment="1" applyProtection="1">
      <alignment horizontal="right" vertical="center"/>
    </xf>
    <xf numFmtId="165" fontId="0" fillId="3" borderId="22" xfId="0" applyNumberFormat="1" applyFill="1" applyBorder="1" applyAlignment="1" applyProtection="1">
      <alignment horizontal="right" vertical="center"/>
    </xf>
    <xf numFmtId="0" fontId="0" fillId="3" borderId="7" xfId="0" applyFill="1" applyBorder="1" applyAlignment="1" applyProtection="1">
      <alignment horizontal="right" vertical="center"/>
    </xf>
    <xf numFmtId="0" fontId="0" fillId="3" borderId="40" xfId="0" applyFill="1" applyBorder="1" applyAlignment="1" applyProtection="1">
      <alignment horizontal="right" vertical="center"/>
    </xf>
    <xf numFmtId="165" fontId="0" fillId="3" borderId="9" xfId="0" applyNumberFormat="1" applyFill="1" applyBorder="1" applyAlignment="1" applyProtection="1">
      <alignment horizontal="right" vertical="center"/>
    </xf>
    <xf numFmtId="165" fontId="0" fillId="3" borderId="11" xfId="0" applyNumberFormat="1" applyFill="1" applyBorder="1" applyAlignment="1" applyProtection="1">
      <alignment horizontal="right" vertical="center"/>
    </xf>
    <xf numFmtId="165" fontId="0" fillId="3" borderId="12" xfId="0" applyNumberFormat="1" applyFill="1" applyBorder="1" applyAlignment="1" applyProtection="1">
      <alignment horizontal="right" vertical="center"/>
    </xf>
    <xf numFmtId="165" fontId="0" fillId="3" borderId="10" xfId="0" applyNumberFormat="1" applyFill="1" applyBorder="1" applyAlignment="1" applyProtection="1">
      <alignment horizontal="right" vertical="center"/>
    </xf>
    <xf numFmtId="0" fontId="0" fillId="0" borderId="24" xfId="0" applyBorder="1" applyAlignment="1" applyProtection="1">
      <alignment horizontal="right" vertical="center" wrapText="1"/>
    </xf>
    <xf numFmtId="0" fontId="0" fillId="0" borderId="25" xfId="0" applyBorder="1" applyAlignment="1" applyProtection="1">
      <alignment horizontal="right" vertical="center" wrapText="1"/>
    </xf>
    <xf numFmtId="0" fontId="0" fillId="0" borderId="15" xfId="0" applyBorder="1" applyAlignment="1" applyProtection="1">
      <alignment horizontal="left" vertical="center"/>
    </xf>
    <xf numFmtId="0" fontId="0" fillId="0" borderId="16" xfId="0" applyBorder="1" applyAlignment="1" applyProtection="1">
      <alignment horizontal="left" vertical="center"/>
    </xf>
    <xf numFmtId="0" fontId="0" fillId="0" borderId="17" xfId="0" applyBorder="1" applyAlignment="1" applyProtection="1">
      <alignment horizontal="left" vertical="center"/>
    </xf>
    <xf numFmtId="0" fontId="0" fillId="0" borderId="18" xfId="0" applyBorder="1" applyAlignment="1" applyProtection="1">
      <alignment horizontal="left" vertical="center"/>
    </xf>
    <xf numFmtId="0" fontId="0" fillId="0" borderId="9" xfId="0" applyBorder="1" applyAlignment="1" applyProtection="1">
      <alignment horizontal="left" vertical="center" wrapText="1"/>
    </xf>
    <xf numFmtId="0" fontId="0" fillId="0" borderId="10" xfId="0" applyBorder="1" applyAlignment="1" applyProtection="1">
      <alignment horizontal="left" vertical="center" wrapText="1"/>
    </xf>
    <xf numFmtId="0" fontId="0" fillId="0" borderId="11" xfId="0" applyBorder="1" applyAlignment="1" applyProtection="1">
      <alignment horizontal="left" vertical="center" wrapText="1"/>
    </xf>
    <xf numFmtId="0" fontId="0" fillId="0" borderId="12" xfId="0" applyBorder="1" applyAlignment="1" applyProtection="1">
      <alignment horizontal="left" vertical="center" wrapText="1"/>
    </xf>
  </cellXfs>
  <cellStyles count="1">
    <cellStyle name="Normal" xfId="0" builtinId="0"/>
  </cellStyles>
  <dxfs count="6">
    <dxf>
      <fill>
        <patternFill>
          <bgColor rgb="FFFFCC99"/>
        </patternFill>
      </fill>
      <border>
        <left style="thin">
          <color rgb="FFFF0000"/>
        </left>
        <right style="thin">
          <color rgb="FFFF0000"/>
        </right>
        <top/>
        <bottom/>
        <vertical/>
        <horizontal/>
      </border>
    </dxf>
    <dxf>
      <fill>
        <patternFill>
          <bgColor rgb="FFFFCC99"/>
        </patternFill>
      </fill>
      <border>
        <left style="thin">
          <color rgb="FFFF0000"/>
        </left>
        <right style="thin">
          <color rgb="FFFF0000"/>
        </right>
        <top/>
        <bottom style="thin">
          <color rgb="FFFF0000"/>
        </bottom>
        <vertical/>
        <horizontal/>
      </border>
    </dxf>
    <dxf>
      <fill>
        <patternFill>
          <bgColor theme="0"/>
        </patternFill>
      </fill>
      <border>
        <left/>
        <right/>
        <top style="thin">
          <color rgb="FFFF0000"/>
        </top>
        <bottom/>
        <vertical/>
        <horizontal/>
      </border>
    </dxf>
    <dxf>
      <fill>
        <patternFill>
          <bgColor rgb="FFFFCC99"/>
        </patternFill>
      </fill>
      <border>
        <left style="thin">
          <color rgb="FFFF0000"/>
        </left>
        <right style="thin">
          <color rgb="FFFF0000"/>
        </right>
        <top/>
        <bottom style="thin">
          <color rgb="FFFF0000"/>
        </bottom>
        <vertical/>
        <horizontal/>
      </border>
    </dxf>
    <dxf>
      <fill>
        <patternFill>
          <bgColor theme="0"/>
        </patternFill>
      </fill>
      <border>
        <left/>
        <right/>
        <top style="thin">
          <color rgb="FFFF0000"/>
        </top>
        <bottom/>
        <vertical/>
        <horizontal/>
      </border>
    </dxf>
    <dxf>
      <fill>
        <patternFill>
          <bgColor theme="0"/>
        </patternFill>
      </fill>
      <border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FFCC99"/>
      <color rgb="FFFFFFCC"/>
      <color rgb="FF99FFCC"/>
      <color rgb="FF99FF66"/>
      <color rgb="FF99FF99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82"/>
  <sheetViews>
    <sheetView showGridLines="0" tabSelected="1" zoomScale="85" zoomScaleNormal="85" zoomScalePageLayoutView="85" workbookViewId="0">
      <selection activeCell="C15" sqref="C15:D15"/>
    </sheetView>
  </sheetViews>
  <sheetFormatPr defaultRowHeight="15" x14ac:dyDescent="0.25"/>
  <cols>
    <col min="1" max="1" width="7.28515625" customWidth="1"/>
    <col min="2" max="2" width="14.7109375" customWidth="1"/>
    <col min="3" max="3" width="35.28515625" customWidth="1"/>
    <col min="4" max="4" width="33.85546875" customWidth="1"/>
    <col min="5" max="5" width="15" customWidth="1"/>
    <col min="6" max="6" width="10.5703125" customWidth="1"/>
    <col min="7" max="7" width="8.42578125" customWidth="1"/>
    <col min="8" max="8" width="18.140625" customWidth="1"/>
    <col min="9" max="9" width="44.140625" customWidth="1"/>
    <col min="10" max="10" width="20.42578125" style="3" customWidth="1"/>
    <col min="11" max="11" width="21" customWidth="1"/>
    <col min="12" max="12" width="9" customWidth="1"/>
    <col min="13" max="13" width="9.5703125" customWidth="1"/>
  </cols>
  <sheetData>
    <row r="1" spans="1:16" ht="36" x14ac:dyDescent="0.55000000000000004">
      <c r="A1" s="137" t="s">
        <v>33</v>
      </c>
      <c r="B1" s="137"/>
      <c r="C1" s="137"/>
      <c r="D1" s="137"/>
      <c r="E1" s="137"/>
      <c r="F1" s="137"/>
      <c r="G1" s="137"/>
      <c r="H1" s="137"/>
      <c r="I1" s="137"/>
      <c r="J1" s="55"/>
      <c r="K1" s="55"/>
      <c r="L1" s="55"/>
      <c r="M1" s="55"/>
      <c r="N1" s="55"/>
      <c r="O1" s="55"/>
      <c r="P1" s="55"/>
    </row>
    <row r="2" spans="1:16" ht="23.25" x14ac:dyDescent="0.35">
      <c r="A2" s="138" t="s">
        <v>63</v>
      </c>
      <c r="B2" s="138"/>
      <c r="C2" s="138"/>
      <c r="D2" s="138"/>
      <c r="E2" s="138"/>
      <c r="F2" s="138"/>
      <c r="G2" s="138"/>
      <c r="H2" s="138"/>
      <c r="I2" s="138"/>
      <c r="J2" s="37"/>
      <c r="K2" s="37"/>
      <c r="L2" s="37"/>
      <c r="M2" s="37"/>
    </row>
    <row r="3" spans="1:16" ht="19.5" thickBot="1" x14ac:dyDescent="0.35">
      <c r="A3" s="129"/>
      <c r="B3" s="129"/>
      <c r="C3" s="129"/>
      <c r="D3" s="129"/>
      <c r="E3" s="129"/>
      <c r="F3" s="129"/>
      <c r="G3" s="129"/>
      <c r="H3" s="129"/>
      <c r="I3" s="129"/>
      <c r="J3" s="37"/>
      <c r="K3" s="37"/>
      <c r="L3" s="37"/>
      <c r="M3" s="37"/>
    </row>
    <row r="4" spans="1:16" ht="23.25" x14ac:dyDescent="0.35">
      <c r="A4" s="129"/>
      <c r="B4" s="107" t="s">
        <v>65</v>
      </c>
      <c r="C4" s="20"/>
      <c r="D4" s="20"/>
      <c r="E4" s="20"/>
      <c r="F4" s="20"/>
      <c r="G4" s="20"/>
      <c r="H4" s="20"/>
      <c r="I4" s="23"/>
      <c r="J4" s="5"/>
      <c r="K4" s="37"/>
      <c r="L4" s="37"/>
      <c r="M4" s="37"/>
    </row>
    <row r="5" spans="1:16" ht="18.75" x14ac:dyDescent="0.3">
      <c r="A5" s="129"/>
      <c r="B5" s="105" t="s">
        <v>59</v>
      </c>
      <c r="C5" s="21"/>
      <c r="D5" s="21"/>
      <c r="E5" s="21"/>
      <c r="F5" s="21"/>
      <c r="G5" s="21"/>
      <c r="H5" s="21"/>
      <c r="I5" s="23"/>
      <c r="J5" s="5"/>
      <c r="K5" s="37"/>
      <c r="L5" s="37"/>
      <c r="M5" s="37"/>
    </row>
    <row r="6" spans="1:16" ht="18.75" x14ac:dyDescent="0.3">
      <c r="A6" s="129"/>
      <c r="B6" s="105" t="s">
        <v>60</v>
      </c>
      <c r="C6" s="21"/>
      <c r="D6" s="21"/>
      <c r="E6" s="21"/>
      <c r="F6" s="21"/>
      <c r="G6" s="21"/>
      <c r="H6" s="21"/>
      <c r="I6" s="23"/>
      <c r="J6" s="5"/>
      <c r="K6" s="37"/>
      <c r="L6" s="37"/>
      <c r="M6" s="37"/>
    </row>
    <row r="7" spans="1:16" ht="18.75" x14ac:dyDescent="0.3">
      <c r="A7" s="129"/>
      <c r="B7" s="105" t="s">
        <v>72</v>
      </c>
      <c r="C7" s="21"/>
      <c r="D7" s="21"/>
      <c r="E7" s="21"/>
      <c r="F7" s="21"/>
      <c r="G7" s="21"/>
      <c r="H7" s="21"/>
      <c r="I7" s="23"/>
      <c r="J7" s="5"/>
      <c r="K7" s="109"/>
      <c r="L7" s="109"/>
      <c r="M7" s="109"/>
    </row>
    <row r="8" spans="1:16" ht="19.5" thickBot="1" x14ac:dyDescent="0.35">
      <c r="A8" s="129"/>
      <c r="B8" s="106" t="s">
        <v>70</v>
      </c>
      <c r="C8" s="22"/>
      <c r="D8" s="22"/>
      <c r="E8" s="22"/>
      <c r="F8" s="22"/>
      <c r="G8" s="22"/>
      <c r="H8" s="22"/>
      <c r="I8" s="23"/>
      <c r="J8" s="5"/>
      <c r="K8" s="37"/>
      <c r="L8" s="37"/>
      <c r="M8" s="37"/>
    </row>
    <row r="9" spans="1:16" ht="18.75" x14ac:dyDescent="0.3">
      <c r="A9" s="129"/>
      <c r="B9" s="129"/>
      <c r="C9" s="129"/>
      <c r="D9" s="129"/>
      <c r="E9" s="129"/>
      <c r="F9" s="129"/>
      <c r="G9" s="129"/>
      <c r="H9" s="129"/>
      <c r="I9" s="129"/>
      <c r="J9" s="37"/>
      <c r="K9" s="37"/>
      <c r="L9" s="37"/>
      <c r="M9" s="37"/>
    </row>
    <row r="10" spans="1:16" ht="19.5" thickBot="1" x14ac:dyDescent="0.35">
      <c r="B10" s="129"/>
      <c r="C10" s="129"/>
      <c r="D10" s="129"/>
      <c r="E10" s="129"/>
      <c r="F10" s="129"/>
      <c r="G10" s="64"/>
      <c r="H10" s="64"/>
      <c r="I10" s="129"/>
      <c r="J10" s="37"/>
      <c r="K10" s="37"/>
      <c r="L10" s="37"/>
      <c r="M10" s="37"/>
      <c r="N10" s="37"/>
    </row>
    <row r="11" spans="1:16" ht="19.5" thickTop="1" x14ac:dyDescent="0.3">
      <c r="B11" s="78"/>
      <c r="C11" s="79"/>
      <c r="D11" s="79"/>
      <c r="E11" s="79"/>
      <c r="F11" s="79"/>
      <c r="G11" s="80"/>
      <c r="H11" s="79"/>
      <c r="I11" s="79"/>
      <c r="J11" s="79"/>
      <c r="K11" s="81"/>
      <c r="L11" s="37"/>
      <c r="M11" s="37"/>
      <c r="N11" s="37"/>
    </row>
    <row r="12" spans="1:16" ht="18.75" x14ac:dyDescent="0.3">
      <c r="B12" s="82"/>
      <c r="C12" s="64"/>
      <c r="D12" s="64"/>
      <c r="E12" s="64"/>
      <c r="F12" s="64"/>
      <c r="G12" s="47"/>
      <c r="H12" s="64"/>
      <c r="I12" s="64"/>
      <c r="J12" s="64"/>
      <c r="K12" s="83"/>
      <c r="L12" s="37"/>
      <c r="M12" s="37"/>
      <c r="N12" s="37"/>
    </row>
    <row r="13" spans="1:16" ht="23.25" x14ac:dyDescent="0.35">
      <c r="B13" s="84" t="s">
        <v>53</v>
      </c>
      <c r="C13" s="46"/>
      <c r="D13" s="64"/>
      <c r="E13" s="64"/>
      <c r="F13" s="64"/>
      <c r="G13" s="47"/>
      <c r="H13" s="65" t="s">
        <v>56</v>
      </c>
      <c r="I13" s="46"/>
      <c r="J13" s="46"/>
      <c r="K13" s="85"/>
      <c r="L13" s="37"/>
      <c r="M13" s="37"/>
      <c r="N13" s="37"/>
    </row>
    <row r="14" spans="1:16" ht="15" customHeight="1" thickBot="1" x14ac:dyDescent="0.4">
      <c r="B14" s="86"/>
      <c r="C14" s="46"/>
      <c r="D14" s="64"/>
      <c r="E14" s="64"/>
      <c r="F14" s="64"/>
      <c r="G14" s="47"/>
      <c r="H14" s="46"/>
      <c r="I14" s="66"/>
      <c r="J14" s="43" t="s">
        <v>35</v>
      </c>
      <c r="K14" s="85"/>
      <c r="L14" s="37"/>
      <c r="M14" s="37"/>
      <c r="N14" s="37"/>
    </row>
    <row r="15" spans="1:16" ht="19.5" thickTop="1" x14ac:dyDescent="0.3">
      <c r="B15" s="87" t="s">
        <v>31</v>
      </c>
      <c r="C15" s="135" t="s">
        <v>39</v>
      </c>
      <c r="D15" s="136"/>
      <c r="E15" s="64"/>
      <c r="F15" s="64"/>
      <c r="G15" s="47"/>
      <c r="H15" s="46"/>
      <c r="I15" s="124" t="str">
        <f>IF($C$15="Meloxicam (5 mg/mL)",Formulary!H3,IF($C$15="Carprofen (50 mg/mL)",Formulary!H4,IF($C$15="Ketoprofen (100 mg/mL)",Formulary!H5,IF($C$15="Atipamezole (5 mg/mL)",Formulary!H6,IF($C$15="Buprenorphine (0.3 mg/mL)",Formulary!H7,IF($C$15="Ketamine (100 mg/mL)",Formulary!H8,IF($C$15="Xylazine (20 mg/mL)",Formulary!H9,IF($C$15="Ketamine (100 mg/mL) Xylazine (20 mg/mL)",Formulary!H10,IF($C$15="Ketamine (100 mg/mL) Xylazine (20 mg/mL) Acepromazine (10 mg/mL)",Formulary!H12,"N/A")))))))))</f>
        <v>Increase # of Animals</v>
      </c>
      <c r="J15" s="44" t="str">
        <f>IF($C$15="Meloxicam (5 mg/mL)","volume Meloxicam (mL)",IF($C$15="Carprofen (50 mg/mL)","volume Carprofen (mL)",IF($C$15="Ketoprofen (100 mg/mL)","volume Ketoprofen (mL)",IF($C$15="Atipamezole (5 mg/mL)","volume Atipamezole (mL)",IF($C$15="Buprenorphine (0.3 mg/mL)","volume Buprenorphine (mL)",IF($C$15="Ketamine (100 mg/mL)","volume Ketamine (mL)",IF($C$15="Xylazine (20 mg/mL)","volume Xylazine (mL)",IF($C$15="Ketamine (100 mg/mL) Xylazine (20 mg/mL)","volume Ketamine (mL)",IF($C$15="Ketamine (100 mg/mL) Xylazine (20 mg/mL) Acepromazine (10 mg/mL)","volume Ketamine (mL)","stock volume 1 (mL)")))))))))</f>
        <v>volume Meloxicam (mL)</v>
      </c>
      <c r="K15" s="88"/>
      <c r="L15" s="37"/>
      <c r="M15" s="37"/>
      <c r="N15" s="37"/>
    </row>
    <row r="16" spans="1:16" ht="15" customHeight="1" x14ac:dyDescent="0.3">
      <c r="B16" s="87"/>
      <c r="C16" s="67" t="s">
        <v>73</v>
      </c>
      <c r="D16" s="64"/>
      <c r="E16" s="64"/>
      <c r="F16" s="64"/>
      <c r="G16" s="47"/>
      <c r="H16" s="46"/>
      <c r="I16" s="125" t="str">
        <f>IF($C$15="Ketamine (100 mg/mL) Xylazine (20 mg/mL)",Formulary!H11,IF($C$15="Ketamine (100 mg/mL) Xylazine (20 mg/mL) Acepromazine (10 mg/mL)",Formulary!H13,"N/A"))</f>
        <v>N/A</v>
      </c>
      <c r="J16" s="68" t="str">
        <f>IF($C$15="Ketamine (100 mg/mL) Xylazine (20 mg/mL)","volume Xylazine (mL)",IF($C$15="Ketamine (100 mg/mL) Xylazine (20 mg/mL) Acepromazine (10 mg/mL)","volume Xylazine (mL)",""))</f>
        <v/>
      </c>
      <c r="K16" s="89"/>
      <c r="L16" s="37"/>
      <c r="M16" s="37"/>
    </row>
    <row r="17" spans="2:14" ht="18.75" x14ac:dyDescent="0.3">
      <c r="B17" s="87"/>
      <c r="C17" s="64"/>
      <c r="D17" s="64"/>
      <c r="E17" s="64"/>
      <c r="F17" s="64"/>
      <c r="G17" s="47"/>
      <c r="H17" s="46"/>
      <c r="I17" s="126" t="str">
        <f>IF($C$15="Ketamine (100 mg/mL) Xylazine (20 mg/mL) Acepromazine (10 mg/mL)",Formulary!H14,"N/A")</f>
        <v>N/A</v>
      </c>
      <c r="J17" s="44" t="str">
        <f>IF($C$15="Ketamine (100 mg/mL) Xylazine (20 mg/mL) Acepromazine (10 mg/mL)","volume Acepromazine (mL)","")</f>
        <v/>
      </c>
      <c r="K17" s="90"/>
      <c r="L17" s="37"/>
      <c r="M17" s="37"/>
    </row>
    <row r="18" spans="2:14" ht="18.75" x14ac:dyDescent="0.3">
      <c r="B18" s="91"/>
      <c r="C18" s="64"/>
      <c r="D18" s="64"/>
      <c r="E18" s="64"/>
      <c r="F18" s="64"/>
      <c r="G18" s="47"/>
      <c r="H18" s="46"/>
      <c r="I18" s="126"/>
      <c r="J18" s="69" t="s">
        <v>36</v>
      </c>
      <c r="K18" s="89"/>
      <c r="L18" s="37"/>
      <c r="M18" s="37"/>
      <c r="N18" s="37"/>
    </row>
    <row r="19" spans="2:14" ht="24" thickBot="1" x14ac:dyDescent="0.4">
      <c r="B19" s="84" t="s">
        <v>54</v>
      </c>
      <c r="C19" s="64"/>
      <c r="D19" s="64"/>
      <c r="E19" s="64"/>
      <c r="F19" s="64"/>
      <c r="G19" s="47"/>
      <c r="H19" s="46"/>
      <c r="I19" s="127" t="str">
        <f>IF($C$15="Meloxicam (5 mg/mL)",Formulary!I3,IF($C$15="Carprofen (50 mg/mL)",Formulary!I4,IF($C$15="Ketoprofen (100 mg/mL)",Formulary!I5,IF($C$15="Atipamezole (5 mg/mL)",Formulary!I6,IF($C$15="Buprenorphine (0.3 mg/mL)",Formulary!I7,IF($C$15="Ketamine (100 mg/mL)",Formulary!I8,IF($C$15="Xylazine (20 mg/mL)",Formulary!I9,IF($C$15="Ketamine (100 mg/mL) Xylazine (20 mg/mL)",Formulary!I10,IF($C$15="Ketamine (100 mg/mL) Xylazine (20 mg/mL) Acepromazine (10 mg/mL)",Formulary!I12,"N/A")))))))))</f>
        <v>N/A</v>
      </c>
      <c r="J19" s="44" t="s">
        <v>67</v>
      </c>
      <c r="K19" s="85"/>
      <c r="L19" s="37"/>
      <c r="M19" s="37"/>
      <c r="N19" s="37"/>
    </row>
    <row r="20" spans="2:14" ht="13.5" customHeight="1" thickTop="1" x14ac:dyDescent="0.25">
      <c r="B20" s="92"/>
      <c r="C20" s="39"/>
      <c r="D20" s="70"/>
      <c r="E20" s="38"/>
      <c r="F20" s="38"/>
      <c r="G20" s="48"/>
      <c r="H20" s="46"/>
      <c r="I20" s="36"/>
      <c r="J20" s="44"/>
      <c r="K20" s="89"/>
      <c r="L20" s="2"/>
      <c r="M20" s="2"/>
      <c r="N20" s="2"/>
    </row>
    <row r="21" spans="2:14" ht="15.75" x14ac:dyDescent="0.25">
      <c r="B21" s="87" t="s">
        <v>31</v>
      </c>
      <c r="C21" s="122">
        <v>30</v>
      </c>
      <c r="D21" s="46"/>
      <c r="E21" s="46"/>
      <c r="F21" s="46"/>
      <c r="G21" s="49"/>
      <c r="H21" s="46"/>
      <c r="I21" s="36"/>
      <c r="J21" s="43" t="s">
        <v>51</v>
      </c>
      <c r="K21" s="85"/>
    </row>
    <row r="22" spans="2:14" ht="16.5" thickBot="1" x14ac:dyDescent="0.3">
      <c r="B22" s="93"/>
      <c r="C22" s="42" t="s">
        <v>49</v>
      </c>
      <c r="D22" s="71"/>
      <c r="E22" s="46"/>
      <c r="F22" s="46"/>
      <c r="G22" s="50"/>
      <c r="H22" s="46"/>
      <c r="I22" s="46"/>
      <c r="J22" s="69" t="s">
        <v>52</v>
      </c>
      <c r="K22" s="85"/>
    </row>
    <row r="23" spans="2:14" ht="18.75" customHeight="1" x14ac:dyDescent="0.25">
      <c r="B23" s="93"/>
      <c r="C23" s="46"/>
      <c r="D23" s="71"/>
      <c r="E23" s="41"/>
      <c r="F23" s="41"/>
      <c r="G23" s="51"/>
      <c r="H23" s="46"/>
      <c r="I23" s="108">
        <f>IF($C$15="Meloxicam (5 mg/mL)",Formulary!J3,IF($C$15="Carprofen (50 mg/mL)",Formulary!J4,IF($C$15="Ketoprofen (100 mg/mL)",Formulary!J5,IF($C$15="Atipamezole (5 mg/mL)",Formulary!J6,IF($C$15="Buprenorphine (0.3 mg/mL)",Formulary!J7,IF($C$15="Ketamine (100 mg/mL)",Formulary!J8,IF($C$15="Xylazine (20 mg/mL)",Formulary!J9,IF($C$15="Ketamine (100 mg/mL) Xylazine (20 mg/mL)",Formulary!J10,IF($C$15="Ketamine (100 mg/mL) Xylazine (20 mg/mL) Acepromazine (10 mg/mL)",Formulary!J12,"N/A")))))))))</f>
        <v>4.9999999499999994E-3</v>
      </c>
      <c r="J23" s="68" t="str">
        <f>IF($C$15="Meloxicam (5 mg/mL)","[Meloxicam] (mg/mL)",IF($C$15="Carprofen (50 mg/mL)","[Carprofen] (mg/mL)",IF($C$15="Ketoprofen (100 mg/mL)","[Ketoprofen] (mg/mL)",IF($C$15="Atipamezole (5 mg/mL)","[Atipamezole] (mg/mL)",IF($C$15="Buprenorphine (0.3 mg/mL)","[Buprenorphine] (mg/mL)",IF($C$15="Ketamine (100 mg/mL)","[Ketamine] (mg/mL)",IF($C$15="Xylazine (20 mg/mL)","[Xylazine] (mg/mL)",IF($C$15="Ketamine (100 mg/mL) Xylazine (20 mg/mL)","[Ketamine] (mg/mL)",IF($C$15="Ketamine (100 mg/mL) Xylazine (20 mg/mL) Acepromazine (10 mg/mL)","[Ketamine] (mg/mL)","[working] 1 (mg/mL)")))))))))</f>
        <v>[Meloxicam] (mg/mL)</v>
      </c>
      <c r="K23" s="85"/>
    </row>
    <row r="24" spans="2:14" ht="18.75" x14ac:dyDescent="0.3">
      <c r="B24" s="94"/>
      <c r="C24" s="33"/>
      <c r="D24" s="46"/>
      <c r="E24" s="40"/>
      <c r="F24" s="40"/>
      <c r="G24" s="52"/>
      <c r="H24" s="46"/>
      <c r="I24" s="110" t="str">
        <f>IF($C$15="Ketamine (100 mg/mL) Xylazine (20 mg/mL)",Formulary!J11,IF($C$15="Ketamine (100 mg/mL) Xylazine (20 mg/mL) Acepromazine (10 mg/mL)",Formulary!J13,"N/A"))</f>
        <v>N/A</v>
      </c>
      <c r="J24" s="68" t="str">
        <f>IF($C$15="Ketamine (100 mg/mL) Xylazine (20 mg/mL)","[Xylazine] (mg/mL)",IF($C$15="Ketamine (100 mg/mL) Xylazine (20 mg/mL) Acepromazine (10 mg/mL)","[Xylazine] (mg/mL)",""))</f>
        <v/>
      </c>
      <c r="K24" s="85"/>
    </row>
    <row r="25" spans="2:14" ht="18.75" customHeight="1" thickBot="1" x14ac:dyDescent="0.4">
      <c r="B25" s="95" t="s">
        <v>58</v>
      </c>
      <c r="C25" s="35"/>
      <c r="D25" s="46"/>
      <c r="E25" s="39"/>
      <c r="F25" s="39"/>
      <c r="G25" s="49"/>
      <c r="H25" s="46"/>
      <c r="I25" s="111" t="str">
        <f>IF($C$15="Ketamine (100 mg/mL) Xylazine (20 mg/mL) Acepromazine (10 mg/mL)",Formulary!J14,"N/A")</f>
        <v>N/A</v>
      </c>
      <c r="J25" s="68" t="str">
        <f>IF($C$15="Ketamine (100 mg/mL) Xylazine (20 mg/mL) Acepromazine (10 mg/mL)","[Acepromazine] (mg/mL)","")</f>
        <v/>
      </c>
      <c r="K25" s="85"/>
    </row>
    <row r="26" spans="2:14" x14ac:dyDescent="0.25">
      <c r="B26" s="94"/>
      <c r="C26" s="24"/>
      <c r="D26" s="46"/>
      <c r="E26" s="46"/>
      <c r="F26" s="46"/>
      <c r="G26" s="53"/>
      <c r="H26" s="46"/>
      <c r="I26" s="46"/>
      <c r="J26" s="46"/>
      <c r="K26" s="85"/>
    </row>
    <row r="27" spans="2:14" ht="15.75" x14ac:dyDescent="0.25">
      <c r="B27" s="87" t="s">
        <v>31</v>
      </c>
      <c r="C27" s="120">
        <v>10</v>
      </c>
      <c r="D27" s="46"/>
      <c r="E27" s="46"/>
      <c r="F27" s="46"/>
      <c r="G27" s="54"/>
      <c r="H27" s="46"/>
      <c r="I27" s="46"/>
      <c r="J27" s="46"/>
      <c r="K27" s="85"/>
    </row>
    <row r="28" spans="2:14" ht="16.5" customHeight="1" x14ac:dyDescent="0.35">
      <c r="B28" s="94"/>
      <c r="C28" s="139" t="s">
        <v>64</v>
      </c>
      <c r="D28" s="139"/>
      <c r="E28" s="139"/>
      <c r="F28" s="46"/>
      <c r="G28" s="54"/>
      <c r="H28" s="65" t="s">
        <v>57</v>
      </c>
      <c r="I28" s="46"/>
      <c r="J28" s="46"/>
      <c r="K28" s="85"/>
    </row>
    <row r="29" spans="2:14" ht="19.5" thickBot="1" x14ac:dyDescent="0.35">
      <c r="B29" s="94"/>
      <c r="C29" s="24"/>
      <c r="D29" s="46"/>
      <c r="E29" s="46"/>
      <c r="G29" s="103"/>
      <c r="H29" s="46"/>
      <c r="I29" s="72"/>
      <c r="J29" s="46"/>
      <c r="K29" s="85"/>
    </row>
    <row r="30" spans="2:14" ht="18.75" customHeight="1" thickTop="1" thickBot="1" x14ac:dyDescent="0.3">
      <c r="B30" s="94"/>
      <c r="C30" s="46"/>
      <c r="D30" s="46"/>
      <c r="E30" s="46"/>
      <c r="F30" s="46"/>
      <c r="G30" s="54"/>
      <c r="H30" s="46"/>
      <c r="I30" s="112">
        <f>IF($C$15="Meloxicam (5 mg/mL)",Formulary!K3,IF($C$15="Carprofen (50 mg/mL)",Formulary!K4,IF($C$15="Ketoprofen (100 mg/mL)",Formulary!K5,IF($C$15="Atipamezole (5 mg/mL)",Formulary!K6,IF($C$15="Buprenorphine (0.3 mg/mL)",Formulary!K7,IF($C$15="Ketamine (100 mg/mL)",Formulary!K8,IF($C$15="Xylazine (20 mg/mL)",Formulary!K9,IF($C$15="Ketamine (100 mg/mL) Xylazine (20 mg/mL)",Formulary!K10,IF($C$15="Ketamine (100 mg/mL) Xylazine (20 mg/mL) Acepromazine (10 mg/mL)",Formulary!K12,"N/A")))))))))</f>
        <v>0.30000000300000007</v>
      </c>
      <c r="J30" s="73" t="s">
        <v>50</v>
      </c>
      <c r="K30" s="96" t="s">
        <v>30</v>
      </c>
    </row>
    <row r="31" spans="2:14" s="3" customFormat="1" ht="18.75" customHeight="1" thickTop="1" x14ac:dyDescent="0.35">
      <c r="B31" s="95" t="s">
        <v>55</v>
      </c>
      <c r="C31" s="46"/>
      <c r="D31" s="46"/>
      <c r="E31" s="46"/>
      <c r="F31" s="46"/>
      <c r="G31" s="54"/>
      <c r="H31" s="46"/>
      <c r="I31" s="46"/>
      <c r="J31" s="46"/>
      <c r="K31" s="97" t="s">
        <v>28</v>
      </c>
    </row>
    <row r="32" spans="2:14" s="3" customFormat="1" ht="15" customHeight="1" x14ac:dyDescent="0.3">
      <c r="B32" s="94"/>
      <c r="C32" s="66"/>
      <c r="D32" s="74"/>
      <c r="E32" s="75" t="s">
        <v>37</v>
      </c>
      <c r="F32" s="75"/>
      <c r="G32" s="54"/>
      <c r="H32" s="46"/>
      <c r="I32" s="46"/>
      <c r="J32" s="31" t="s">
        <v>48</v>
      </c>
      <c r="K32" s="97" t="s">
        <v>29</v>
      </c>
    </row>
    <row r="33" spans="2:11" s="3" customFormat="1" ht="15" customHeight="1" x14ac:dyDescent="0.25">
      <c r="B33" s="87" t="s">
        <v>31</v>
      </c>
      <c r="C33" s="123">
        <v>0.05</v>
      </c>
      <c r="D33" s="76" t="str">
        <f>IF($C$15="Meloxicam (5 mg/mL)","Meloxicam",IF($C$15="Carprofen (50 mg/mL)","Carprofen",IF($C$15="Ketoprofen (100 mg/mL)","Ketoprofen",IF($C$15="Atipamezole (5 mg/mL)","Atipamezole",IF($C$15="Buprenorphine (0.3 mg/mL)","Buprenorphine",IF($C$15="Ketamine (100 mg/mL)","Ketamine",IF($C$15="Xylazine (20 mg/mL)","Xylazine",IF($C$15="Ketamine (100 mg/mL) Xylazine (20 mg/mL)","Ketamine",IF($C$15="Ketamine (100 mg/mL) Xylazine (20 mg/mL) Acepromazine (10 mg/mL)","Ketamine","")))))))))</f>
        <v>Meloxicam</v>
      </c>
      <c r="E33" s="75" t="str">
        <f>IF($C$15="Meloxicam (5 mg/mL)","5-10 mg/kg",IF($C$15="Carprofen (50 mg/mL)","4-5 mg/kg",IF($C$15="Ketoprofen (100 mg/mL)","2-5 mg/kg",IF($C$15="Atipamezole (5 mg/mL)","1-2.5 mg/kg",IF($C$15="Buprenorphine (0.3 mg/mL)","0.05-0.1 mg/kg",IF($C$15="Ketamine (100 mg/mL)","100-200 mg/kg",IF($C$15="Xylazine (20 mg/mL)","10-20 mg/kg",IF($C$15="Ketamine (100 mg/mL) Xylazine (20 mg/mL)","80-100 mg/kg",IF($C$15="Ketamine (100 mg/mL) Xylazine (20 mg/mL) Acepromazine (10 mg/mL)","70-100 mg/kg","")))))))))</f>
        <v>5-10 mg/kg</v>
      </c>
      <c r="F33" s="76"/>
      <c r="G33" s="54"/>
      <c r="H33" s="46"/>
      <c r="I33" s="46"/>
      <c r="J33" s="77" t="str">
        <f>IF($C$15="Meloxicam (5 mg/mL)","PO or SC",IF($C$15="Carprofen (50 mg/mL)","SC",IF($C$15="Ketoprofen (100 mg/mL)","SC",IF($C$15="Atipamezole (5 mg/mL)","SC or IP",IF($C$15="Buprenorphine (0.3 mg/mL)","SC or IP",IF($C$15="Ketamine (100 mg/mL)","IP",IF($C$15="Xylazine (20 mg/mL)","IP",IF($C$15="Ketamine (100 mg/mL) Xylazine (20 mg/mL)","IP",IF($C$15="Ketamine (100 mg/mL) Xylazine (20 mg/mL) Acepromazine (10 mg/mL)","IP","")))))))))</f>
        <v>PO or SC</v>
      </c>
      <c r="K33" s="98" t="s">
        <v>27</v>
      </c>
    </row>
    <row r="34" spans="2:11" s="3" customFormat="1" ht="15.75" x14ac:dyDescent="0.25">
      <c r="B34" s="87" t="str">
        <f>IF($C$15="Ketamine (100 mg/mL) Xylazine (20 mg/mL)","&gt;&gt;",IF($C$15="Ketamine (100 mg/mL) Xylazine (20 mg/mL) Acepromazine (10 mg/mL)","&gt;&gt;",""))</f>
        <v/>
      </c>
      <c r="C34" s="121">
        <v>5</v>
      </c>
      <c r="D34" s="76" t="str">
        <f>IF($C$15="Ketamine (100 mg/mL) Xylazine (20 mg/mL)","Xylazine",IF($C$15="Ketamine (100 mg/mL) Xylazine (20 mg/mL) Acepromazine (10 mg/mL)","Xylazine",""))</f>
        <v/>
      </c>
      <c r="E34" s="75" t="str">
        <f>IF($C$15="Ketamine (100 mg/mL) Xylazine (20 mg/mL)","5-10 mg/kg",IF($C$15="Ketamine (100 mg/mL) Xylazine (20 mg/mL) Acepromazine (10 mg/mL)","10-20 mg/kg",""))</f>
        <v/>
      </c>
      <c r="F34" s="76"/>
      <c r="G34" s="54"/>
      <c r="H34" s="46"/>
      <c r="K34" s="104"/>
    </row>
    <row r="35" spans="2:11" s="3" customFormat="1" ht="16.5" thickBot="1" x14ac:dyDescent="0.3">
      <c r="B35" s="87" t="str">
        <f>IF($C$15="Ketamine (100 mg/mL) Xylazine (20 mg/mL) Acepromazine (10 mg/mL)","&gt;&gt;","")</f>
        <v/>
      </c>
      <c r="C35" s="128">
        <v>1</v>
      </c>
      <c r="D35" s="76" t="str">
        <f>IF($C$15="Ketamine (100 mg/mL) Xylazine (20 mg/mL) Acepromazine (10 mg/mL)","Acepromazine","")</f>
        <v/>
      </c>
      <c r="E35" s="75" t="str">
        <f>IF($C$15="Ketamine (100 mg/mL) Xylazine (20 mg/mL) Acepromazine (10 mg/mL)","2-3 mg/kg","")</f>
        <v/>
      </c>
      <c r="F35" s="76"/>
      <c r="G35" s="54"/>
      <c r="H35" s="46"/>
      <c r="I35" s="46"/>
      <c r="J35" s="46"/>
      <c r="K35" s="85"/>
    </row>
    <row r="36" spans="2:11" s="3" customFormat="1" ht="15.75" thickTop="1" x14ac:dyDescent="0.25">
      <c r="B36" s="94"/>
      <c r="C36" s="46" t="s">
        <v>66</v>
      </c>
      <c r="D36" s="46"/>
      <c r="E36" s="46"/>
      <c r="F36" s="46"/>
      <c r="G36" s="54"/>
      <c r="H36" s="46"/>
      <c r="I36" s="46"/>
      <c r="J36" s="46"/>
      <c r="K36" s="85"/>
    </row>
    <row r="37" spans="2:11" s="3" customFormat="1" ht="18.75" customHeight="1" x14ac:dyDescent="0.25">
      <c r="B37" s="94"/>
      <c r="C37" s="46"/>
      <c r="D37" s="46"/>
      <c r="E37" s="46"/>
      <c r="F37" s="46"/>
      <c r="G37" s="54"/>
      <c r="H37" s="46"/>
      <c r="I37" s="46"/>
      <c r="J37" s="46"/>
      <c r="K37" s="85"/>
    </row>
    <row r="38" spans="2:11" s="3" customFormat="1" ht="18.75" customHeight="1" x14ac:dyDescent="0.25">
      <c r="B38" s="94"/>
      <c r="C38" s="46"/>
      <c r="D38" s="46"/>
      <c r="E38" s="46"/>
      <c r="F38" s="46"/>
      <c r="G38" s="54"/>
      <c r="H38" s="46"/>
      <c r="I38" s="46"/>
      <c r="J38" s="46"/>
      <c r="K38" s="85"/>
    </row>
    <row r="39" spans="2:11" s="3" customFormat="1" ht="15.75" thickBot="1" x14ac:dyDescent="0.3">
      <c r="B39" s="99"/>
      <c r="C39" s="100"/>
      <c r="D39" s="100"/>
      <c r="E39" s="100"/>
      <c r="F39" s="100"/>
      <c r="G39" s="101"/>
      <c r="H39" s="100"/>
      <c r="I39" s="100"/>
      <c r="J39" s="100"/>
      <c r="K39" s="102"/>
    </row>
    <row r="40" spans="2:11" s="3" customFormat="1" ht="15" customHeight="1" thickTop="1" x14ac:dyDescent="0.25"/>
    <row r="41" spans="2:11" s="3" customFormat="1" x14ac:dyDescent="0.25"/>
    <row r="42" spans="2:11" s="3" customFormat="1" x14ac:dyDescent="0.25"/>
    <row r="43" spans="2:11" s="3" customFormat="1" x14ac:dyDescent="0.25"/>
    <row r="44" spans="2:11" s="3" customFormat="1" x14ac:dyDescent="0.25">
      <c r="E44" s="5"/>
      <c r="F44" s="5"/>
      <c r="G44" s="34"/>
      <c r="H44" s="34"/>
    </row>
    <row r="45" spans="2:11" s="3" customFormat="1" x14ac:dyDescent="0.25"/>
    <row r="46" spans="2:11" s="3" customFormat="1" x14ac:dyDescent="0.25"/>
    <row r="47" spans="2:11" s="3" customFormat="1" x14ac:dyDescent="0.25"/>
    <row r="48" spans="2:11" s="3" customFormat="1" x14ac:dyDescent="0.25"/>
    <row r="49" spans="1:12" s="3" customFormat="1" x14ac:dyDescent="0.25">
      <c r="E49" s="25"/>
      <c r="F49" s="25"/>
    </row>
    <row r="50" spans="1:12" s="3" customFormat="1" x14ac:dyDescent="0.25">
      <c r="E50" s="25"/>
      <c r="F50" s="25"/>
    </row>
    <row r="51" spans="1:12" s="3" customFormat="1" x14ac:dyDescent="0.25">
      <c r="E51" s="25"/>
      <c r="F51" s="25"/>
    </row>
    <row r="52" spans="1:12" s="3" customFormat="1" ht="18.75" customHeight="1" x14ac:dyDescent="0.25">
      <c r="E52" s="25"/>
      <c r="F52" s="25"/>
    </row>
    <row r="53" spans="1:12" s="3" customFormat="1" ht="18.75" customHeight="1" x14ac:dyDescent="0.25">
      <c r="E53" s="25"/>
      <c r="F53" s="25"/>
    </row>
    <row r="54" spans="1:12" s="3" customFormat="1" x14ac:dyDescent="0.25">
      <c r="E54" s="25"/>
      <c r="F54" s="25"/>
    </row>
    <row r="55" spans="1:12" s="3" customFormat="1" ht="15" customHeight="1" x14ac:dyDescent="0.25">
      <c r="E55" s="25"/>
      <c r="F55" s="25"/>
    </row>
    <row r="56" spans="1:12" s="3" customFormat="1" x14ac:dyDescent="0.25">
      <c r="E56" s="25"/>
      <c r="F56" s="25"/>
    </row>
    <row r="57" spans="1:12" s="3" customFormat="1" x14ac:dyDescent="0.25">
      <c r="E57" s="25"/>
      <c r="F57" s="25"/>
    </row>
    <row r="58" spans="1:12" s="3" customFormat="1" ht="15.75" x14ac:dyDescent="0.25">
      <c r="E58" s="45"/>
      <c r="F58" s="45"/>
    </row>
    <row r="59" spans="1:12" s="3" customFormat="1" x14ac:dyDescent="0.25">
      <c r="E59" s="25"/>
      <c r="F59" s="25"/>
    </row>
    <row r="60" spans="1:12" s="3" customFormat="1" x14ac:dyDescent="0.25">
      <c r="E60" s="25"/>
      <c r="F60" s="25"/>
    </row>
    <row r="61" spans="1:12" s="3" customFormat="1" x14ac:dyDescent="0.25">
      <c r="A61" s="46"/>
      <c r="B61" s="46"/>
      <c r="C61" s="46"/>
      <c r="D61" s="46"/>
    </row>
    <row r="62" spans="1:12" s="46" customFormat="1" x14ac:dyDescent="0.25"/>
    <row r="63" spans="1:12" s="46" customFormat="1" x14ac:dyDescent="0.25">
      <c r="A63" s="3"/>
      <c r="B63" s="3"/>
      <c r="C63" s="3"/>
      <c r="D63" s="3"/>
    </row>
    <row r="64" spans="1:12" x14ac:dyDescent="0.25">
      <c r="A64" s="3"/>
      <c r="B64" s="3"/>
      <c r="C64" s="3"/>
      <c r="D64" s="3"/>
      <c r="E64" s="3"/>
      <c r="F64" s="3"/>
      <c r="G64" s="3"/>
      <c r="H64" s="3"/>
      <c r="I64" s="3"/>
      <c r="K64" s="3"/>
      <c r="L64" s="3"/>
    </row>
    <row r="65" spans="1:10" x14ac:dyDescent="0.25">
      <c r="A65" s="3"/>
      <c r="B65" s="3"/>
      <c r="C65" s="3"/>
      <c r="D65" s="3"/>
      <c r="E65" s="3"/>
      <c r="F65" s="3"/>
      <c r="G65" s="3"/>
      <c r="H65" s="3"/>
      <c r="I65" s="3"/>
    </row>
    <row r="66" spans="1:10" x14ac:dyDescent="0.25">
      <c r="A66" s="3"/>
      <c r="B66" s="3"/>
      <c r="C66" s="3"/>
      <c r="D66" s="3"/>
      <c r="E66" s="3"/>
      <c r="F66" s="3"/>
      <c r="G66" s="3"/>
      <c r="H66" s="3"/>
      <c r="I66" s="3"/>
    </row>
    <row r="67" spans="1:10" x14ac:dyDescent="0.25">
      <c r="A67" s="3"/>
      <c r="B67" s="3"/>
      <c r="C67" s="3"/>
      <c r="D67" s="3"/>
      <c r="E67" s="3"/>
      <c r="F67" s="3"/>
      <c r="G67" s="3"/>
      <c r="H67" s="3"/>
      <c r="I67" s="3"/>
    </row>
    <row r="68" spans="1:10" x14ac:dyDescent="0.25">
      <c r="A68" s="3"/>
      <c r="B68" s="3"/>
      <c r="C68" s="3"/>
      <c r="D68" s="3"/>
      <c r="E68" s="3"/>
      <c r="F68" s="3"/>
      <c r="G68" s="3"/>
      <c r="H68" s="3"/>
      <c r="I68" s="3"/>
    </row>
    <row r="69" spans="1:10" x14ac:dyDescent="0.25">
      <c r="A69" s="3"/>
      <c r="B69" s="3"/>
      <c r="C69" s="3"/>
      <c r="D69" s="3"/>
      <c r="E69" s="3"/>
      <c r="F69" s="3"/>
      <c r="G69" s="3"/>
      <c r="H69" s="3"/>
      <c r="I69" s="3"/>
    </row>
    <row r="70" spans="1:10" x14ac:dyDescent="0.25">
      <c r="A70" s="3"/>
      <c r="B70" s="3"/>
      <c r="C70" s="3"/>
      <c r="D70" s="3"/>
      <c r="E70" s="3"/>
      <c r="F70" s="3"/>
      <c r="G70" s="3"/>
      <c r="H70" s="3"/>
      <c r="I70" s="3"/>
    </row>
    <row r="71" spans="1:10" x14ac:dyDescent="0.25">
      <c r="A71" s="3"/>
      <c r="B71" s="3"/>
      <c r="C71" s="3"/>
      <c r="D71" s="3"/>
      <c r="E71" s="3"/>
      <c r="F71" s="3"/>
      <c r="G71" s="3"/>
      <c r="H71" s="3"/>
      <c r="I71" s="3"/>
      <c r="J71"/>
    </row>
    <row r="72" spans="1:10" x14ac:dyDescent="0.25">
      <c r="A72" s="3"/>
      <c r="B72" s="3"/>
      <c r="C72" s="3"/>
      <c r="D72" s="3"/>
      <c r="E72" s="3"/>
      <c r="F72" s="3"/>
      <c r="G72" s="3"/>
      <c r="H72" s="3"/>
      <c r="I72" s="3"/>
      <c r="J72"/>
    </row>
    <row r="73" spans="1:10" x14ac:dyDescent="0.25">
      <c r="A73" s="3"/>
      <c r="B73" s="3"/>
      <c r="C73" s="3"/>
      <c r="D73" s="3"/>
      <c r="E73" s="3"/>
      <c r="F73" s="3"/>
      <c r="G73" s="3"/>
      <c r="H73" s="3"/>
      <c r="I73" s="3"/>
      <c r="J73"/>
    </row>
    <row r="74" spans="1:10" x14ac:dyDescent="0.25">
      <c r="E74" s="3"/>
      <c r="F74" s="3"/>
      <c r="G74" s="3"/>
      <c r="H74" s="3"/>
      <c r="I74" s="3"/>
      <c r="J74"/>
    </row>
    <row r="81" spans="10:10" ht="15" customHeight="1" x14ac:dyDescent="0.25">
      <c r="J81"/>
    </row>
    <row r="82" spans="10:10" ht="15" customHeight="1" x14ac:dyDescent="0.25">
      <c r="J82"/>
    </row>
  </sheetData>
  <mergeCells count="4">
    <mergeCell ref="C15:D15"/>
    <mergeCell ref="A1:I1"/>
    <mergeCell ref="A2:I2"/>
    <mergeCell ref="C28:E28"/>
  </mergeCells>
  <pageMargins left="0.30196078431372547" right="0.30196078431372547" top="0.75" bottom="0.75" header="0.3" footer="0.3"/>
  <pageSetup scale="64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A38C192E-5826-429B-9A47-6417E88FE020}">
            <xm:f>Formulary!$E$29=1</xm:f>
            <x14:dxf>
              <fill>
                <patternFill>
                  <bgColor theme="0"/>
                </patternFill>
              </fill>
              <border>
                <left/>
                <right/>
                <top/>
                <bottom/>
                <vertical/>
                <horizontal/>
              </border>
            </x14:dxf>
          </x14:cfRule>
          <x14:cfRule type="expression" priority="6" id="{A5BF6DAB-AA06-45D0-8574-D982E02C4B94}">
            <xm:f>Formulary!$E$29=2</xm:f>
            <x14:dxf>
              <fill>
                <patternFill>
                  <bgColor theme="0"/>
                </patternFill>
              </fill>
              <border>
                <left/>
                <right/>
                <top style="thin">
                  <color rgb="FFFF0000"/>
                </top>
                <bottom/>
                <vertical/>
                <horizontal/>
              </border>
            </x14:dxf>
          </x14:cfRule>
          <x14:cfRule type="expression" priority="7" id="{2532A993-2A76-4B3D-855B-B23E1BC45475}">
            <xm:f>Formulary!$E$29=3</xm:f>
            <x14:dxf>
              <fill>
                <patternFill>
                  <bgColor rgb="FFFFCC99"/>
                </patternFill>
              </fill>
              <border>
                <left style="thin">
                  <color rgb="FFFF0000"/>
                </left>
                <right style="thin">
                  <color rgb="FFFF0000"/>
                </right>
                <top/>
                <bottom style="thin">
                  <color rgb="FFFF0000"/>
                </bottom>
                <vertical/>
                <horizontal/>
              </border>
            </x14:dxf>
          </x14:cfRule>
          <xm:sqref>C35</xm:sqref>
        </x14:conditionalFormatting>
        <x14:conditionalFormatting xmlns:xm="http://schemas.microsoft.com/office/excel/2006/main">
          <x14:cfRule type="expression" priority="2" id="{09E78AB2-1DD8-4F64-8E2E-5E7702D11487}">
            <xm:f>Formulary!$E$29=1</xm:f>
            <x14:dxf>
              <fill>
                <patternFill>
                  <bgColor theme="0"/>
                </patternFill>
              </fill>
              <border>
                <left/>
                <right/>
                <top style="thin">
                  <color rgb="FFFF0000"/>
                </top>
                <bottom/>
                <vertical/>
                <horizontal/>
              </border>
            </x14:dxf>
          </x14:cfRule>
          <x14:cfRule type="expression" priority="3" id="{159CD58C-7498-4521-8D93-2DFC86BA4AC3}">
            <xm:f>Formulary!$E$29=2</xm:f>
            <x14:dxf>
              <fill>
                <patternFill>
                  <bgColor rgb="FFFFCC99"/>
                </patternFill>
              </fill>
              <border>
                <left style="thin">
                  <color rgb="FFFF0000"/>
                </left>
                <right style="thin">
                  <color rgb="FFFF0000"/>
                </right>
                <top/>
                <bottom style="thin">
                  <color rgb="FFFF0000"/>
                </bottom>
                <vertical/>
                <horizontal/>
              </border>
            </x14:dxf>
          </x14:cfRule>
          <x14:cfRule type="expression" priority="4" id="{7EAD75CA-5AEE-4978-9226-F347954A33C4}">
            <xm:f>Formulary!$E$29=3</xm:f>
            <x14:dxf>
              <fill>
                <patternFill>
                  <bgColor rgb="FFFFCC99"/>
                </patternFill>
              </fill>
              <border>
                <left style="thin">
                  <color rgb="FFFF0000"/>
                </left>
                <right style="thin">
                  <color rgb="FFFF0000"/>
                </right>
                <top/>
                <bottom/>
                <vertical/>
                <horizontal/>
              </border>
            </x14:dxf>
          </x14:cfRule>
          <xm:sqref>C34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>
          <x14:formula1>
            <xm:f>Formulary!$B$29:$B$37</xm:f>
          </x14:formula1>
          <xm:sqref>C15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"/>
  <sheetViews>
    <sheetView showGridLines="0" workbookViewId="0">
      <selection activeCell="K12" sqref="K12:K14"/>
    </sheetView>
  </sheetViews>
  <sheetFormatPr defaultRowHeight="15" x14ac:dyDescent="0.25"/>
  <cols>
    <col min="1" max="1" width="14.42578125" customWidth="1"/>
    <col min="2" max="2" width="40.28515625" bestFit="1" customWidth="1"/>
    <col min="3" max="3" width="6.5703125" bestFit="1" customWidth="1"/>
    <col min="4" max="4" width="15.28515625" bestFit="1" customWidth="1"/>
    <col min="5" max="5" width="12.85546875" bestFit="1" customWidth="1"/>
    <col min="6" max="6" width="14.5703125" bestFit="1" customWidth="1"/>
    <col min="7" max="7" width="11" bestFit="1" customWidth="1"/>
    <col min="8" max="8" width="22.140625" customWidth="1"/>
    <col min="9" max="9" width="12.5703125" bestFit="1" customWidth="1"/>
    <col min="10" max="10" width="18.28515625" bestFit="1" customWidth="1"/>
    <col min="11" max="11" width="16.5703125" bestFit="1" customWidth="1"/>
  </cols>
  <sheetData>
    <row r="1" spans="1:11" ht="15.75" thickBot="1" x14ac:dyDescent="0.3"/>
    <row r="2" spans="1:11" ht="16.5" thickTop="1" thickBot="1" x14ac:dyDescent="0.3">
      <c r="A2" s="6" t="s">
        <v>0</v>
      </c>
      <c r="B2" s="4" t="s">
        <v>1</v>
      </c>
      <c r="C2" s="4" t="s">
        <v>2</v>
      </c>
      <c r="D2" s="4" t="s">
        <v>25</v>
      </c>
      <c r="E2" s="4" t="s">
        <v>3</v>
      </c>
      <c r="F2" s="4" t="s">
        <v>21</v>
      </c>
      <c r="G2" s="4" t="s">
        <v>22</v>
      </c>
      <c r="H2" s="4" t="s">
        <v>24</v>
      </c>
      <c r="I2" s="4" t="s">
        <v>4</v>
      </c>
      <c r="J2" s="4" t="s">
        <v>12</v>
      </c>
      <c r="K2" s="1" t="s">
        <v>5</v>
      </c>
    </row>
    <row r="3" spans="1:11" ht="30" customHeight="1" x14ac:dyDescent="0.25">
      <c r="A3" s="7" t="s">
        <v>6</v>
      </c>
      <c r="B3" s="8" t="s">
        <v>13</v>
      </c>
      <c r="C3" s="9" t="s">
        <v>69</v>
      </c>
      <c r="D3" s="9">
        <v>5</v>
      </c>
      <c r="E3" s="29">
        <f>IF(Calculator!$C$15="Meloxicam (5 mg/mL)",Calculator!$C$33,10)</f>
        <v>0.05</v>
      </c>
      <c r="F3" s="18">
        <f>IF(Calculator!$C$15="Meloxicam (5 mg/mL)",((Calculator!$C$27)*0.6),5)</f>
        <v>6</v>
      </c>
      <c r="G3" s="18">
        <f>IF(Calculator!$C$15="Meloxicam (5 mg/mL)",((Calculator!$C$27)*0.6060606)*3.3,16.5)</f>
        <v>19.999999799999998</v>
      </c>
      <c r="H3" s="130" t="str">
        <f>IF((((E3/1000)*Calculator!$C$21*G3)/D3)&gt;0.05, ((E3/1000)*Calculator!$C$21*G3)/D3, "Increase # of Animals")</f>
        <v>Increase # of Animals</v>
      </c>
      <c r="I3" s="130" t="str">
        <f>IF(ISNUMBER(H3), (IF((F3-H3)&gt;0.1, F3-H3, "Increase # of Animals")), "N/A")</f>
        <v>N/A</v>
      </c>
      <c r="J3" s="113">
        <f>((E3/1000)*Calculator!$C$21*G3)/F3</f>
        <v>4.9999999499999994E-3</v>
      </c>
      <c r="K3" s="118">
        <f>IF(OR(((E3/1000)/J3*Calculator!$C$21)&lt;0.1),"Increase # of Animals",IF(((E3/1000)/J3*Calculator!$C$21)&gt;0.5,"Decrease # of Animals",((E3/1000)/J3*Calculator!$C$21)))</f>
        <v>0.30000000300000007</v>
      </c>
    </row>
    <row r="4" spans="1:11" ht="30" customHeight="1" x14ac:dyDescent="0.25">
      <c r="A4" s="10" t="s">
        <v>7</v>
      </c>
      <c r="B4" s="11" t="s">
        <v>13</v>
      </c>
      <c r="C4" s="12" t="s">
        <v>18</v>
      </c>
      <c r="D4" s="12">
        <v>50</v>
      </c>
      <c r="E4" s="30">
        <f>IF(Calculator!$C$15="Carprofen (50 mg/mL)",Calculator!$C$33,5)</f>
        <v>5</v>
      </c>
      <c r="F4" s="19">
        <f>IF(Calculator!$C$15="Carprofen (50 mg/mL)",((Calculator!$C$27)*0.6),5)</f>
        <v>5</v>
      </c>
      <c r="G4" s="19">
        <f>IF(Calculator!$C$15="Carprofen (50 mg/mL)",((Calculator!$C$27)*0.6060606)*3.3,16.5)</f>
        <v>16.5</v>
      </c>
      <c r="H4" s="130" t="str">
        <f>IF((((E4/1000)*Calculator!$C$21*G4)/D4)&gt;0.05, ((E4/1000)*Calculator!$C$21*G4)/D4, "Increase # of Animals")</f>
        <v>Increase # of Animals</v>
      </c>
      <c r="I4" s="130" t="str">
        <f t="shared" ref="I4:I7" si="0">IF(ISNUMBER(H4), (IF((F4-H4)&gt;0.1, F4-H4, "Increase # of Animals")), "N/A")</f>
        <v>N/A</v>
      </c>
      <c r="J4" s="113">
        <f>((E4/1000)*Calculator!$C$21*G4)/F4</f>
        <v>0.495</v>
      </c>
      <c r="K4" s="118">
        <f>IF(OR(((E4/1000)/J4*Calculator!$C$21)&lt;0.1),"Increase # of Animals",IF(((E4/1000)/J4*Calculator!$C$21)&gt;0.5,"Decrease # of Animals",((E4/1000)/J4*Calculator!$C$21)))</f>
        <v>0.30303030303030304</v>
      </c>
    </row>
    <row r="5" spans="1:11" ht="30" customHeight="1" x14ac:dyDescent="0.25">
      <c r="A5" s="10" t="s">
        <v>8</v>
      </c>
      <c r="B5" s="11" t="s">
        <v>13</v>
      </c>
      <c r="C5" s="12" t="s">
        <v>18</v>
      </c>
      <c r="D5" s="12">
        <v>100</v>
      </c>
      <c r="E5" s="30">
        <f>IF(Calculator!$C$15="Ketoprofen (100 mg/mL)",Calculator!$C$33,5)</f>
        <v>5</v>
      </c>
      <c r="F5" s="19">
        <f>IF(Calculator!$C$15="Ketoprofen (100 mg/mL)",((Calculator!$C$27)*0.6),5)</f>
        <v>5</v>
      </c>
      <c r="G5" s="19">
        <f>IF(Calculator!$C$15="Ketoprofen (100 mg/mL)",((Calculator!$C$27)*0.6060606)*3.3,16.5)</f>
        <v>16.5</v>
      </c>
      <c r="H5" s="130" t="str">
        <f>IF((((E5/1000)*Calculator!$C$21*G5)/D5)&gt;0.05, ((E5/1000)*Calculator!$C$21*G5)/D5, "Increase # of Animals")</f>
        <v>Increase # of Animals</v>
      </c>
      <c r="I5" s="130" t="str">
        <f t="shared" si="0"/>
        <v>N/A</v>
      </c>
      <c r="J5" s="113">
        <f>((E5/1000)*Calculator!$C$21*G5)/F5</f>
        <v>0.495</v>
      </c>
      <c r="K5" s="118">
        <f>IF(OR(((E5/1000)/J5*Calculator!$C$21)&lt;0.1),"Increase # of Animals",IF(((E5/1000)/J5*Calculator!$C$21)&gt;0.5,"Decrease # of Animals",((E5/1000)/J5*Calculator!$C$21)))</f>
        <v>0.30303030303030304</v>
      </c>
    </row>
    <row r="6" spans="1:11" ht="30" customHeight="1" x14ac:dyDescent="0.25">
      <c r="A6" s="10" t="s">
        <v>9</v>
      </c>
      <c r="B6" s="11" t="s">
        <v>14</v>
      </c>
      <c r="C6" s="12" t="s">
        <v>26</v>
      </c>
      <c r="D6" s="12">
        <v>5</v>
      </c>
      <c r="E6" s="30">
        <f>IF(Calculator!$C$15="Atipamezole (5 mg/mL)",Calculator!$C$33,1)</f>
        <v>1</v>
      </c>
      <c r="F6" s="19">
        <f>IF(Calculator!$C$15="Atipamezole (5 mg/mL)",((Calculator!$C$27)*0.6),5)</f>
        <v>5</v>
      </c>
      <c r="G6" s="19">
        <f>IF(Calculator!$C$15="Atipamezole (5 mg/mL)",((Calculator!$C$27)*0.6060606)*3.3,16.5)</f>
        <v>16.5</v>
      </c>
      <c r="H6" s="130">
        <f>IF((((E6/1000)*Calculator!$C$21*G6)/D6)&gt;0.05, ((E6/1000)*Calculator!$C$21*G6)/D6, "Increase # of Animals")</f>
        <v>9.9000000000000005E-2</v>
      </c>
      <c r="I6" s="130">
        <f t="shared" si="0"/>
        <v>4.9009999999999998</v>
      </c>
      <c r="J6" s="113">
        <f>((E6/1000)*Calculator!$C$21*G6)/F6</f>
        <v>9.9000000000000005E-2</v>
      </c>
      <c r="K6" s="118">
        <f>IF(OR(((E6/1000)/J6*Calculator!$C$21)&lt;0.1),"Increase # of Animals",IF(((E6/1000)/J6*Calculator!$C$21)&gt;0.5,"Decrease # of Animals",((E6/1000)/J6*Calculator!$C$21)))</f>
        <v>0.30303030303030298</v>
      </c>
    </row>
    <row r="7" spans="1:11" ht="30" customHeight="1" x14ac:dyDescent="0.25">
      <c r="A7" s="119" t="s">
        <v>68</v>
      </c>
      <c r="B7" s="11" t="s">
        <v>15</v>
      </c>
      <c r="C7" s="12" t="s">
        <v>26</v>
      </c>
      <c r="D7" s="12">
        <v>0.3</v>
      </c>
      <c r="E7" s="30">
        <f>IF(Calculator!$C$15="Buprenorphine (0.3 mg/mL)",Calculator!$C$33,0.1)</f>
        <v>0.1</v>
      </c>
      <c r="F7" s="19">
        <f>IF(Calculator!$C$15="Buprenorphine (0.3 mg/mL)",((Calculator!$C$27)*0.6),5)</f>
        <v>5</v>
      </c>
      <c r="G7" s="19">
        <f>IF(Calculator!$C$15="Buprenorphine (0.3 mg/mL)",((Calculator!$C$27)*0.6060606)*3.3,16.5)</f>
        <v>16.5</v>
      </c>
      <c r="H7" s="130">
        <f>IF((((E7/1000)*Calculator!$C$21*G7)/D7)&gt;0.05, ((E7/1000)*Calculator!$C$21*G7)/D7, "Increase # of Animals")</f>
        <v>0.16500000000000001</v>
      </c>
      <c r="I7" s="130">
        <f t="shared" si="0"/>
        <v>4.835</v>
      </c>
      <c r="J7" s="113">
        <f>((E7/1000)*Calculator!$C$21*G7)/F7</f>
        <v>9.9000000000000008E-3</v>
      </c>
      <c r="K7" s="118">
        <f>IF(OR(((E7/1000)/J7*Calculator!$C$21)&lt;0.1),"Increase # of Animals",IF(((E7/1000)/J7*Calculator!$C$21)&gt;0.5,"Decrease # of Animals",((E7/1000)/J7*Calculator!$C$21)))</f>
        <v>0.30303030303030298</v>
      </c>
    </row>
    <row r="8" spans="1:11" ht="30" customHeight="1" x14ac:dyDescent="0.25">
      <c r="A8" s="10" t="s">
        <v>10</v>
      </c>
      <c r="B8" s="11" t="s">
        <v>16</v>
      </c>
      <c r="C8" s="12" t="s">
        <v>19</v>
      </c>
      <c r="D8" s="12">
        <v>100</v>
      </c>
      <c r="E8" s="30">
        <f>IF(Calculator!$C$15="Ketamine (100 mg/mL)",Calculator!$C$33,200)</f>
        <v>200</v>
      </c>
      <c r="F8" s="19">
        <f>IF(Calculator!$C$15="Ketamine (100 mg/mL)",((Calculator!$C$27)*0.6),5)</f>
        <v>5</v>
      </c>
      <c r="G8" s="19">
        <f>IF(Calculator!$C$15="Ketamine (100 mg/mL)",((Calculator!$C$27)*0.6060606)*3.3,16.5)</f>
        <v>16.5</v>
      </c>
      <c r="H8" s="130">
        <f>IF((((E8/1000)*Calculator!$C$21*G8)/D8)&gt;0.05, ((E8/1000)*Calculator!$C$21*G8)/D8, "Increase # of Animals")</f>
        <v>0.99</v>
      </c>
      <c r="I8" s="130">
        <f>IF(ISNUMBER(H8), (IF((F8-H8)&gt;0.1, F8-H8, "Increase # of Animals")), "N/A")</f>
        <v>4.01</v>
      </c>
      <c r="J8" s="113">
        <f>((E8/1000)*Calculator!$C$21*G8)/F8</f>
        <v>19.8</v>
      </c>
      <c r="K8" s="118">
        <f>IF(OR(((E8/1000)/J8*Calculator!$C$21)&lt;0.1),"Increase # of Animals",IF(((E8/1000)/J8*Calculator!$C$21)&gt;0.5,"Decrease # of Animals",((E8/1000)/J8*Calculator!$C$21)))</f>
        <v>0.30303030303030304</v>
      </c>
    </row>
    <row r="9" spans="1:11" ht="30" x14ac:dyDescent="0.25">
      <c r="A9" s="10" t="s">
        <v>11</v>
      </c>
      <c r="B9" s="13" t="s">
        <v>43</v>
      </c>
      <c r="C9" s="12" t="s">
        <v>19</v>
      </c>
      <c r="D9" s="12">
        <v>20</v>
      </c>
      <c r="E9" s="30">
        <f>IF(Calculator!$C$15="Xylazine (20 mg/mL)",Calculator!$C$33,10)</f>
        <v>10</v>
      </c>
      <c r="F9" s="19">
        <f>IF(Calculator!$C$15="Xylazine (20 mg/mL)",((Calculator!$C$27)*0.6),5)</f>
        <v>5</v>
      </c>
      <c r="G9" s="19">
        <f>IF(Calculator!$C$15="Xylazine (20 mg/mL)",((Calculator!$C$27)*0.6060606)*3.3,16.5)</f>
        <v>16.5</v>
      </c>
      <c r="H9" s="130">
        <f>IF((((E9/1000)*Calculator!$C$21*G9)/D9)&gt;0.05, ((E9/1000)*Calculator!$C$21*G9)/D9, "Increase # of Animals")</f>
        <v>0.2475</v>
      </c>
      <c r="I9" s="130">
        <f>IF(ISNUMBER(H9), (IF((F9-H9)&gt;0.1, F9-H9, "Increase # of Animals")), "N/A")</f>
        <v>4.7525000000000004</v>
      </c>
      <c r="J9" s="113">
        <f>((E9/1000)*Calculator!$C$21*G9)/F9</f>
        <v>0.99</v>
      </c>
      <c r="K9" s="118">
        <f>IF(OR(((E9/1000)/J9*Calculator!$C$21)&lt;0.1),"Increase # of Animals",IF(((E9/1000)/J9*Calculator!$C$21)&gt;0.5,"Decrease # of Animals",((E9/1000)/J9*Calculator!$C$21)))</f>
        <v>0.30303030303030304</v>
      </c>
    </row>
    <row r="10" spans="1:11" x14ac:dyDescent="0.25">
      <c r="A10" s="150" t="s">
        <v>20</v>
      </c>
      <c r="B10" s="152" t="s">
        <v>17</v>
      </c>
      <c r="C10" s="156" t="s">
        <v>19</v>
      </c>
      <c r="D10" s="14">
        <v>100</v>
      </c>
      <c r="E10" s="30">
        <f>IF(Calculator!$C$15="Ketamine (100 mg/mL) Xylazine (20 mg/mL)",Calculator!$C$33,100)</f>
        <v>100</v>
      </c>
      <c r="F10" s="144">
        <f>IF(Calculator!$C$15="Ketamine (100 mg/mL) Xylazine (20 mg/mL)",((Calculator!$C$27)*0.6),5)</f>
        <v>5</v>
      </c>
      <c r="G10" s="144">
        <f>IF(Calculator!$C$15="Ketamine (100 mg/mL) Xylazine (20 mg/mL)",((Calculator!$C$27)*0.6060606)*3.3,16.5)</f>
        <v>16.5</v>
      </c>
      <c r="H10" s="131">
        <f>IF((((E10/1000)*Calculator!$C$21*G10)/D10)&gt;0.05, ((E10/1000)*Calculator!$C$21*G10)/D10, "Increase # of Animals")</f>
        <v>0.495</v>
      </c>
      <c r="I10" s="146">
        <f>IF(ISNUMBER(H10), (IF((F10-H10-H11)&gt;0.1, F10-H10-H11, "Increase # of Animals")), "N/A")</f>
        <v>4.2575000000000003</v>
      </c>
      <c r="J10" s="114">
        <f>((E10/1000)*Calculator!$C$21*G10)/F10</f>
        <v>9.9</v>
      </c>
      <c r="K10" s="140">
        <f>IF(OR(((E10/1000)/J10*Calculator!$C$21)&lt;0.1),"Increase # of Animals",IF(((E10/1000)/J10*Calculator!$C$21)&gt;0.5,"Decrease # of Animals",((E10/1000)/J10*Calculator!$C$21)))</f>
        <v>0.30303030303030304</v>
      </c>
    </row>
    <row r="11" spans="1:11" x14ac:dyDescent="0.25">
      <c r="A11" s="150"/>
      <c r="B11" s="153"/>
      <c r="C11" s="157"/>
      <c r="D11" s="15">
        <v>20</v>
      </c>
      <c r="E11" s="30">
        <f>IF(Calculator!$C$15="Ketamine (100 mg/mL) Xylazine (20 mg/mL)",Calculator!$C$34,10)</f>
        <v>10</v>
      </c>
      <c r="F11" s="144"/>
      <c r="G11" s="144"/>
      <c r="H11" s="132">
        <f>IF((((E11/1000)*Calculator!$C$21*G10)/D11)&gt;0.05, ((E11/1000)*Calculator!$C$21*G10)/D11, "Increase # of Animals")</f>
        <v>0.2475</v>
      </c>
      <c r="I11" s="149"/>
      <c r="J11" s="115">
        <f>((E11/1000)*Calculator!$C$21*G10)/F10</f>
        <v>0.99</v>
      </c>
      <c r="K11" s="141"/>
    </row>
    <row r="12" spans="1:11" x14ac:dyDescent="0.25">
      <c r="A12" s="150" t="s">
        <v>47</v>
      </c>
      <c r="B12" s="152" t="s">
        <v>17</v>
      </c>
      <c r="C12" s="156" t="s">
        <v>19</v>
      </c>
      <c r="D12" s="14">
        <v>100</v>
      </c>
      <c r="E12" s="30">
        <f>IF(Calculator!$C$15="Ketamine (100 mg/mL) Xylazine (20 mg/mL) Acepromazine (10 mg/mL)",Calculator!$C$33,100)</f>
        <v>100</v>
      </c>
      <c r="F12" s="144">
        <f>IF(Calculator!$C$15="Ketamine (100 mg/mL) Xylazine (20 mg/mL) Acepromazine (10 mg/mL)",((Calculator!$C$27)*0.6),5)</f>
        <v>5</v>
      </c>
      <c r="G12" s="144">
        <f>IF(Calculator!$C$15="Ketamine (100 mg/mL) Xylazine (20 mg/mL) Acepromazine (10 mg/mL)",((Calculator!$C$27)*0.6060606)*3.3,16.5)</f>
        <v>16.5</v>
      </c>
      <c r="H12" s="131">
        <f>IF((((E12/1000)*Calculator!$C$21*G12)/D12)&gt;0.05, ((E12/1000)*Calculator!$C$21*G12)/D12, "Increase # of Animals")</f>
        <v>0.495</v>
      </c>
      <c r="I12" s="146">
        <f>IF(ISNUMBER(H12), (IF((F12-H12-H13-H14)&gt;0.1, F12-H12-H13-H14, "Increase # of Animals")), "N/A")</f>
        <v>3.8614999999999999</v>
      </c>
      <c r="J12" s="114">
        <f>((E12/1000)*Calculator!$C$21*G12)/F12</f>
        <v>9.9</v>
      </c>
      <c r="K12" s="140">
        <f>IF(OR(((E12/1000)/J12*Calculator!$C$21)&lt;0.1),"Increase # of Animals",IF(((E12/1000)/J12*Calculator!$C$21)&gt;0.5,"Decrease # of Animals",((E12/1000)/J12*Calculator!$C$21)))</f>
        <v>0.30303030303030304</v>
      </c>
    </row>
    <row r="13" spans="1:11" x14ac:dyDescent="0.25">
      <c r="A13" s="150"/>
      <c r="B13" s="154"/>
      <c r="C13" s="158"/>
      <c r="D13" s="16">
        <v>20</v>
      </c>
      <c r="E13" s="30">
        <f>IF(Calculator!$C$15="Ketamine (100 mg/mL) Xylazine (20 mg/mL) Acepromazine (10 mg/mL)",Calculator!$C$34,20)</f>
        <v>20</v>
      </c>
      <c r="F13" s="144"/>
      <c r="G13" s="144"/>
      <c r="H13" s="133">
        <f>IF((((E13/1000)*Calculator!$C$21*G12)/D13)&gt;0.05, ((E13/1000)*Calculator!$C$21*G12)/D13, "Increase # of Animals")</f>
        <v>0.495</v>
      </c>
      <c r="I13" s="147"/>
      <c r="J13" s="116">
        <f>((E13/1000)*Calculator!$C$21*G12)/F12</f>
        <v>1.98</v>
      </c>
      <c r="K13" s="142"/>
    </row>
    <row r="14" spans="1:11" ht="15.75" thickBot="1" x14ac:dyDescent="0.3">
      <c r="A14" s="151"/>
      <c r="B14" s="155"/>
      <c r="C14" s="159"/>
      <c r="D14" s="17">
        <v>10</v>
      </c>
      <c r="E14" s="32">
        <f>IF(Calculator!$C$15="Ketamine (100 mg/mL) Xylazine (20 mg/mL) Acepromazine (10 mg/mL)",Calculator!$C$35,3)</f>
        <v>3</v>
      </c>
      <c r="F14" s="145"/>
      <c r="G14" s="145"/>
      <c r="H14" s="134">
        <f>IF((((E14/1000)*Calculator!$C$21*G12)/D14)&gt;0.05, ((E14/1000)*Calculator!$C$21*G12)/D14, "Increase # of Animals")</f>
        <v>0.14849999999999999</v>
      </c>
      <c r="I14" s="148"/>
      <c r="J14" s="117">
        <f>((E14/1000)*Calculator!$C$21*G12)/F12</f>
        <v>0.29699999999999999</v>
      </c>
      <c r="K14" s="143"/>
    </row>
    <row r="15" spans="1:11" ht="15.75" thickTop="1" x14ac:dyDescent="0.2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</row>
    <row r="16" spans="1:11" ht="15.75" thickBot="1" x14ac:dyDescent="0.3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</row>
    <row r="17" spans="1:11" ht="18.75" x14ac:dyDescent="0.3">
      <c r="A17" s="26" t="s">
        <v>23</v>
      </c>
      <c r="B17" s="20"/>
      <c r="C17" s="20"/>
      <c r="D17" s="20"/>
      <c r="E17" s="20"/>
      <c r="F17" s="20"/>
      <c r="G17" s="20"/>
      <c r="H17" s="20"/>
      <c r="I17" s="56"/>
      <c r="J17" s="3"/>
      <c r="K17" s="3"/>
    </row>
    <row r="18" spans="1:11" x14ac:dyDescent="0.25">
      <c r="A18" s="27" t="s">
        <v>32</v>
      </c>
      <c r="B18" s="21"/>
      <c r="C18" s="21"/>
      <c r="D18" s="21"/>
      <c r="E18" s="21"/>
      <c r="F18" s="21"/>
      <c r="G18" s="21"/>
      <c r="H18" s="21"/>
      <c r="I18" s="57"/>
      <c r="J18" s="3"/>
      <c r="K18" s="3"/>
    </row>
    <row r="19" spans="1:11" x14ac:dyDescent="0.25">
      <c r="A19" s="27" t="s">
        <v>34</v>
      </c>
      <c r="B19" s="21"/>
      <c r="C19" s="21"/>
      <c r="D19" s="21"/>
      <c r="E19" s="21"/>
      <c r="F19" s="21"/>
      <c r="G19" s="21"/>
      <c r="H19" s="21"/>
      <c r="I19" s="57"/>
      <c r="J19" s="3"/>
      <c r="K19" s="3"/>
    </row>
    <row r="20" spans="1:11" x14ac:dyDescent="0.25">
      <c r="A20" s="27" t="s">
        <v>61</v>
      </c>
      <c r="B20" s="21"/>
      <c r="C20" s="21"/>
      <c r="D20" s="21"/>
      <c r="E20" s="21"/>
      <c r="F20" s="21"/>
      <c r="G20" s="21"/>
      <c r="H20" s="21"/>
      <c r="I20" s="57"/>
      <c r="J20" s="3"/>
      <c r="K20" s="3"/>
    </row>
    <row r="21" spans="1:11" ht="15.75" thickBot="1" x14ac:dyDescent="0.3">
      <c r="A21" s="28" t="s">
        <v>71</v>
      </c>
      <c r="B21" s="22"/>
      <c r="C21" s="22"/>
      <c r="D21" s="22"/>
      <c r="E21" s="22"/>
      <c r="F21" s="22"/>
      <c r="G21" s="22"/>
      <c r="H21" s="22"/>
      <c r="I21" s="58"/>
      <c r="J21" s="3"/>
      <c r="K21" s="3"/>
    </row>
    <row r="22" spans="1:11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</row>
    <row r="23" spans="1:11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</row>
    <row r="24" spans="1:11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</row>
    <row r="25" spans="1:11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</row>
    <row r="26" spans="1:11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</row>
    <row r="27" spans="1:11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</row>
    <row r="28" spans="1:11" ht="15.75" thickBot="1" x14ac:dyDescent="0.3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1:11" x14ac:dyDescent="0.25">
      <c r="A29" s="3"/>
      <c r="B29" s="59" t="s">
        <v>39</v>
      </c>
      <c r="C29" s="3"/>
      <c r="D29" s="3"/>
      <c r="E29" s="3">
        <f>IF(OR(Calculator!$C$15="Meloxicam (5 mg/mL)",Calculator!$C$15="Carprofen (50 mg/mL)",Calculator!$C$15="Ketoprofen (100 mg/mL)",Calculator!$C$15="Atipamezole (5 mg/mL)",Calculator!$C$15="Buprenorphine (0.3 mg/mL)",Calculator!$C$15="Ketamine (100 mg/mL)",Calculator!$C$15="Xylazine (20 mg/mL)"),1,IF(Calculator!$C$15="Ketamine (100 mg/mL) Xylazine (20 mg/mL)",2,3))</f>
        <v>1</v>
      </c>
      <c r="F29" s="3"/>
      <c r="G29" s="3"/>
      <c r="H29" s="3"/>
      <c r="I29" s="3"/>
      <c r="J29" s="3"/>
      <c r="K29" s="3"/>
    </row>
    <row r="30" spans="1:11" x14ac:dyDescent="0.25">
      <c r="A30" s="3"/>
      <c r="B30" s="60" t="s">
        <v>40</v>
      </c>
      <c r="C30" s="3"/>
      <c r="D30" s="3"/>
      <c r="E30" s="3"/>
      <c r="F30" s="3"/>
      <c r="G30" s="3"/>
      <c r="H30" s="3"/>
      <c r="I30" s="3"/>
      <c r="J30" s="3"/>
      <c r="K30" s="3"/>
    </row>
    <row r="31" spans="1:11" x14ac:dyDescent="0.25">
      <c r="A31" s="3"/>
      <c r="B31" s="60" t="s">
        <v>41</v>
      </c>
      <c r="C31" s="3"/>
      <c r="D31" s="3"/>
      <c r="E31" s="3"/>
      <c r="F31" s="3"/>
      <c r="G31" s="3"/>
      <c r="H31" s="3"/>
      <c r="I31" s="3"/>
      <c r="J31" s="3"/>
      <c r="K31" s="3"/>
    </row>
    <row r="32" spans="1:11" x14ac:dyDescent="0.25">
      <c r="A32" s="3"/>
      <c r="B32" s="60" t="s">
        <v>42</v>
      </c>
      <c r="C32" s="3"/>
      <c r="D32" s="3"/>
      <c r="E32" s="3"/>
      <c r="F32" s="3"/>
      <c r="G32" s="3"/>
      <c r="H32" s="3"/>
      <c r="I32" s="3"/>
      <c r="J32" s="3"/>
      <c r="K32" s="3"/>
    </row>
    <row r="33" spans="1:11" x14ac:dyDescent="0.25">
      <c r="A33" s="3"/>
      <c r="B33" s="61" t="s">
        <v>44</v>
      </c>
      <c r="C33" s="3"/>
      <c r="D33" s="3"/>
      <c r="E33" s="3"/>
      <c r="F33" s="3"/>
      <c r="G33" s="3"/>
      <c r="H33" s="3"/>
      <c r="I33" s="3"/>
      <c r="J33" s="3"/>
      <c r="K33" s="3"/>
    </row>
    <row r="34" spans="1:11" x14ac:dyDescent="0.25">
      <c r="A34" s="3"/>
      <c r="B34" s="60" t="s">
        <v>38</v>
      </c>
      <c r="C34" s="3"/>
      <c r="D34" s="3"/>
      <c r="E34" s="3"/>
      <c r="F34" s="3"/>
      <c r="G34" s="3"/>
      <c r="H34" s="3"/>
      <c r="I34" s="3"/>
      <c r="J34" s="3"/>
      <c r="K34" s="3"/>
    </row>
    <row r="35" spans="1:11" x14ac:dyDescent="0.25">
      <c r="A35" s="3"/>
      <c r="B35" s="60" t="s">
        <v>45</v>
      </c>
      <c r="C35" s="3"/>
      <c r="D35" s="3"/>
      <c r="E35" s="3"/>
      <c r="F35" s="3"/>
      <c r="G35" s="3"/>
      <c r="H35" s="3"/>
      <c r="I35" s="3"/>
      <c r="J35" s="3"/>
      <c r="K35" s="3"/>
    </row>
    <row r="36" spans="1:11" x14ac:dyDescent="0.25">
      <c r="A36" s="3"/>
      <c r="B36" s="62" t="s">
        <v>46</v>
      </c>
      <c r="C36" s="3"/>
      <c r="D36" s="3"/>
      <c r="E36" s="3"/>
      <c r="F36" s="3"/>
      <c r="G36" s="3"/>
      <c r="H36" s="3"/>
      <c r="I36" s="3"/>
      <c r="J36" s="3"/>
      <c r="K36" s="3"/>
    </row>
    <row r="37" spans="1:11" ht="30.75" thickBot="1" x14ac:dyDescent="0.3">
      <c r="A37" s="3"/>
      <c r="B37" s="63" t="s">
        <v>62</v>
      </c>
      <c r="C37" s="3"/>
      <c r="D37" s="3"/>
      <c r="E37" s="3"/>
      <c r="F37" s="3"/>
      <c r="G37" s="3"/>
      <c r="H37" s="3"/>
      <c r="I37" s="3"/>
      <c r="J37" s="3"/>
      <c r="K37" s="3"/>
    </row>
    <row r="38" spans="1:11" x14ac:dyDescent="0.25">
      <c r="A38" s="3"/>
      <c r="C38" s="3"/>
      <c r="D38" s="3"/>
      <c r="E38" s="3"/>
      <c r="F38" s="3"/>
      <c r="G38" s="3"/>
      <c r="H38" s="3"/>
      <c r="I38" s="3"/>
      <c r="J38" s="3"/>
      <c r="K38" s="3"/>
    </row>
  </sheetData>
  <mergeCells count="14">
    <mergeCell ref="A10:A11"/>
    <mergeCell ref="A12:A14"/>
    <mergeCell ref="B10:B11"/>
    <mergeCell ref="B12:B14"/>
    <mergeCell ref="C10:C11"/>
    <mergeCell ref="C12:C14"/>
    <mergeCell ref="K10:K11"/>
    <mergeCell ref="K12:K14"/>
    <mergeCell ref="F10:F11"/>
    <mergeCell ref="G10:G11"/>
    <mergeCell ref="G12:G14"/>
    <mergeCell ref="F12:F14"/>
    <mergeCell ref="I12:I14"/>
    <mergeCell ref="I10:I11"/>
  </mergeCells>
  <pageMargins left="0.7" right="0.7" top="0.75" bottom="0.75" header="0.3" footer="0.3"/>
  <pageSetup orientation="portrait" r:id="rId1"/>
  <ignoredErrors>
    <ignoredError sqref="F11 F13:F14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Calculator</vt:lpstr>
      <vt:lpstr>Formulary</vt:lpstr>
    </vt:vector>
  </TitlesOfParts>
  <Company>UCSF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DLS Admin</dc:creator>
  <cp:lastModifiedBy>Brovarney, Scott</cp:lastModifiedBy>
  <cp:lastPrinted>2018-11-21T19:02:16Z</cp:lastPrinted>
  <dcterms:created xsi:type="dcterms:W3CDTF">2012-02-01T23:06:17Z</dcterms:created>
  <dcterms:modified xsi:type="dcterms:W3CDTF">2019-03-21T17:39:54Z</dcterms:modified>
</cp:coreProperties>
</file>